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0-Teaching\00-Me\00-offlines\02-SuratMali1404\clips\Nemouneh\"/>
    </mc:Choice>
  </mc:AlternateContent>
  <xr:revisionPtr revIDLastSave="0" documentId="13_ncr:1_{871ED12A-B34B-4F98-A189-8347AE5E22BF}" xr6:coauthVersionLast="47" xr6:coauthVersionMax="47" xr10:uidLastSave="{00000000-0000-0000-0000-000000000000}"/>
  <bookViews>
    <workbookView xWindow="-120" yWindow="-120" windowWidth="29040" windowHeight="15720" firstSheet="6" activeTab="7" xr2:uid="{150467A2-CAD8-45ED-9550-2DEF71FC79FA}"/>
  </bookViews>
  <sheets>
    <sheet name="01" sheetId="1" state="hidden" r:id="rId1"/>
    <sheet name="02" sheetId="4" state="hidden" r:id="rId2"/>
    <sheet name="03" sheetId="5" state="hidden" r:id="rId3"/>
    <sheet name="04" sheetId="6" state="hidden" r:id="rId4"/>
    <sheet name="05" sheetId="7" state="hidden" r:id="rId5"/>
    <sheet name="06" sheetId="8" state="hidden" r:id="rId6"/>
    <sheet name="kham" sheetId="3" r:id="rId7"/>
    <sheet name="اهمیت" sheetId="20" r:id="rId8"/>
    <sheet name="07" sheetId="9" state="hidden" r:id="rId9"/>
    <sheet name="08" sheetId="11" state="hidden" r:id="rId10"/>
    <sheet name="کاردکس" sheetId="10" state="hidden" r:id="rId11"/>
    <sheet name="کاردکس کالا" sheetId="12" state="hidden" r:id="rId12"/>
    <sheet name="09" sheetId="13" state="hidden" r:id="rId13"/>
    <sheet name="10" sheetId="14" state="hidden" r:id="rId14"/>
    <sheet name="11" sheetId="15" state="hidden" r:id="rId15"/>
    <sheet name="تحلیل جریان های نقد" sheetId="16" state="hidden" r:id="rId16"/>
    <sheet name="12" sheetId="17" state="hidden" r:id="rId17"/>
    <sheet name="13" sheetId="18" state="hidden" r:id="rId18"/>
    <sheet name="14" sheetId="19" state="hidden" r:id="rId19"/>
  </sheets>
  <externalReferences>
    <externalReference r:id="rId20"/>
  </externalReferences>
  <definedNames>
    <definedName name="_xlnm.Print_Titles" localSheetId="0">'01'!$1:$2</definedName>
    <definedName name="_xlnm.Print_Titles" localSheetId="1">'02'!$1:$1</definedName>
    <definedName name="_xlnm.Print_Titles" localSheetId="2">'03'!$1:$1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20" l="1"/>
  <c r="C24" i="20"/>
  <c r="C23" i="20"/>
  <c r="E20" i="20"/>
  <c r="E16" i="20"/>
  <c r="E17" i="20"/>
  <c r="E18" i="20"/>
  <c r="E19" i="20"/>
  <c r="E15" i="20"/>
  <c r="B17" i="20"/>
  <c r="C17" i="20"/>
  <c r="C18" i="20" s="1"/>
  <c r="B18" i="20"/>
  <c r="C16" i="20"/>
  <c r="B16" i="20"/>
  <c r="D134" i="18"/>
  <c r="E51" i="18"/>
  <c r="D50" i="18"/>
  <c r="E44" i="18"/>
  <c r="D43" i="18"/>
  <c r="E45" i="18" s="1"/>
  <c r="F30" i="18"/>
  <c r="F31" i="18" s="1"/>
  <c r="D31" i="18"/>
  <c r="D32" i="18" s="1"/>
  <c r="D33" i="18" s="1"/>
  <c r="D34" i="18" s="1"/>
  <c r="D35" i="18" s="1"/>
  <c r="D23" i="18"/>
  <c r="D24" i="18" s="1"/>
  <c r="F80" i="17"/>
  <c r="F79" i="17"/>
  <c r="D77" i="17"/>
  <c r="B19" i="20" l="1"/>
  <c r="F32" i="18"/>
  <c r="F33" i="18" s="1"/>
  <c r="E62" i="15"/>
  <c r="F62" i="15" s="1"/>
  <c r="D62" i="15"/>
  <c r="F63" i="15"/>
  <c r="F49" i="15"/>
  <c r="F48" i="15"/>
  <c r="D48" i="15"/>
  <c r="G42" i="15"/>
  <c r="F43" i="15"/>
  <c r="F34" i="18" l="1"/>
  <c r="F35" i="18" s="1"/>
  <c r="F36" i="18" s="1"/>
  <c r="G36" i="15"/>
  <c r="H37" i="15" s="1"/>
  <c r="H36" i="15"/>
  <c r="H35" i="15"/>
  <c r="H34" i="15"/>
  <c r="G33" i="15"/>
  <c r="F15" i="15"/>
  <c r="E91" i="14" l="1"/>
  <c r="E90" i="14"/>
  <c r="E87" i="14"/>
  <c r="H86" i="13" l="1"/>
  <c r="G55" i="13"/>
  <c r="G48" i="13"/>
  <c r="G47" i="13"/>
  <c r="G50" i="13" s="1"/>
  <c r="G52" i="13" s="1"/>
  <c r="G56" i="13" s="1"/>
  <c r="H55" i="13"/>
  <c r="E61" i="13"/>
  <c r="H50" i="13"/>
  <c r="H52" i="13" s="1"/>
  <c r="H56" i="13" s="1"/>
  <c r="E43" i="13"/>
  <c r="F43" i="13"/>
  <c r="G43" i="13"/>
  <c r="D43" i="13"/>
  <c r="H43" i="13" s="1"/>
  <c r="H42" i="13"/>
  <c r="H35" i="13"/>
  <c r="H36" i="13"/>
  <c r="H37" i="13"/>
  <c r="H38" i="13"/>
  <c r="H39" i="13"/>
  <c r="H40" i="13"/>
  <c r="H41" i="13"/>
  <c r="H34" i="13"/>
  <c r="E20" i="13"/>
  <c r="E21" i="13" s="1"/>
  <c r="E26" i="13" s="1"/>
  <c r="D208" i="11"/>
  <c r="D205" i="11"/>
  <c r="E208" i="11"/>
  <c r="E207" i="11"/>
  <c r="G182" i="11"/>
  <c r="G181" i="11"/>
  <c r="D199" i="11"/>
  <c r="C200" i="11"/>
  <c r="E200" i="11"/>
  <c r="D193" i="11"/>
  <c r="C194" i="11"/>
  <c r="E194" i="11"/>
  <c r="H188" i="11"/>
  <c r="G188" i="11"/>
  <c r="F188" i="11"/>
  <c r="G180" i="11"/>
  <c r="H187" i="11"/>
  <c r="F187" i="11"/>
  <c r="D179" i="11"/>
  <c r="F162" i="11"/>
  <c r="F160" i="11"/>
  <c r="E160" i="11"/>
  <c r="F157" i="11"/>
  <c r="F158" i="11"/>
  <c r="F159" i="11"/>
  <c r="F156" i="11"/>
  <c r="E157" i="11"/>
  <c r="E158" i="11"/>
  <c r="E159" i="11"/>
  <c r="E156" i="11"/>
  <c r="D154" i="11"/>
  <c r="D160" i="11"/>
  <c r="D149" i="11"/>
  <c r="D150" i="11"/>
  <c r="E151" i="11"/>
  <c r="D145" i="11"/>
  <c r="D144" i="11"/>
  <c r="E4" i="12"/>
  <c r="E5" i="12"/>
  <c r="E6" i="12"/>
  <c r="E7" i="12"/>
  <c r="E3" i="12"/>
  <c r="I8" i="12"/>
  <c r="F8" i="12"/>
  <c r="G74" i="11"/>
  <c r="F73" i="11"/>
  <c r="J7" i="12"/>
  <c r="K7" i="12"/>
  <c r="L7" i="12"/>
  <c r="I6" i="12"/>
  <c r="F6" i="12"/>
  <c r="G72" i="11"/>
  <c r="F71" i="11"/>
  <c r="G70" i="11"/>
  <c r="F69" i="11"/>
  <c r="D4" i="12"/>
  <c r="D6" i="12"/>
  <c r="D3" i="12"/>
  <c r="J3" i="12" s="1"/>
  <c r="C4" i="12"/>
  <c r="C5" i="12"/>
  <c r="C6" i="12"/>
  <c r="C7" i="12"/>
  <c r="C3" i="12"/>
  <c r="B4" i="12"/>
  <c r="B5" i="12"/>
  <c r="B6" i="12"/>
  <c r="B7" i="12"/>
  <c r="B3" i="12"/>
  <c r="F81" i="11"/>
  <c r="F79" i="11"/>
  <c r="F78" i="11"/>
  <c r="E80" i="11"/>
  <c r="E79" i="11"/>
  <c r="E78" i="11"/>
  <c r="D80" i="11"/>
  <c r="D82" i="11" s="1"/>
  <c r="D84" i="11" s="1"/>
  <c r="F63" i="11"/>
  <c r="G64" i="11" s="1"/>
  <c r="F49" i="11"/>
  <c r="F59" i="11" s="1"/>
  <c r="F50" i="11"/>
  <c r="F61" i="11" s="1"/>
  <c r="G62" i="11" s="1"/>
  <c r="F51" i="11"/>
  <c r="F67" i="11" s="1"/>
  <c r="G68" i="11" s="1"/>
  <c r="F52" i="11"/>
  <c r="F48" i="11"/>
  <c r="F57" i="11" s="1"/>
  <c r="E40" i="11"/>
  <c r="F40" i="11" s="1"/>
  <c r="F35" i="11"/>
  <c r="F41" i="11" s="1"/>
  <c r="F34" i="11"/>
  <c r="F36" i="11" s="1"/>
  <c r="D9" i="11"/>
  <c r="D10" i="11" s="1"/>
  <c r="F4" i="12" l="1"/>
  <c r="G60" i="11"/>
  <c r="F42" i="11"/>
  <c r="F44" i="11" s="1"/>
  <c r="F3" i="12"/>
  <c r="L3" i="12" s="1"/>
  <c r="G58" i="11"/>
  <c r="F80" i="11"/>
  <c r="F82" i="11" s="1"/>
  <c r="J4" i="12"/>
  <c r="J5" i="12" s="1"/>
  <c r="J6" i="12" s="1"/>
  <c r="K3" i="12"/>
  <c r="E213" i="9"/>
  <c r="D212" i="9"/>
  <c r="D211" i="9"/>
  <c r="H205" i="9"/>
  <c r="H204" i="9"/>
  <c r="G206" i="9"/>
  <c r="G205" i="9"/>
  <c r="G204" i="9"/>
  <c r="D206" i="9"/>
  <c r="D205" i="9"/>
  <c r="D204" i="9"/>
  <c r="E194" i="9"/>
  <c r="D192" i="9"/>
  <c r="D193" i="9"/>
  <c r="D191" i="9"/>
  <c r="D169" i="9"/>
  <c r="D171" i="9"/>
  <c r="D173" i="9" s="1"/>
  <c r="D170" i="9"/>
  <c r="D166" i="9"/>
  <c r="D168" i="9" s="1"/>
  <c r="D164" i="9"/>
  <c r="D163" i="9"/>
  <c r="E150" i="9"/>
  <c r="E145" i="9"/>
  <c r="D145" i="9"/>
  <c r="D134" i="9"/>
  <c r="E130" i="9"/>
  <c r="D130" i="9"/>
  <c r="F129" i="9"/>
  <c r="F128" i="9"/>
  <c r="F127" i="9"/>
  <c r="F126" i="9"/>
  <c r="E120" i="9"/>
  <c r="E119" i="9"/>
  <c r="C119" i="9"/>
  <c r="D116" i="9"/>
  <c r="F109" i="9"/>
  <c r="F110" i="9"/>
  <c r="F111" i="9"/>
  <c r="F108" i="9"/>
  <c r="E112" i="9"/>
  <c r="D112" i="9"/>
  <c r="F99" i="9"/>
  <c r="F96" i="9"/>
  <c r="J6" i="10"/>
  <c r="J3" i="10"/>
  <c r="J4" i="10" s="1"/>
  <c r="J5" i="10" s="1"/>
  <c r="D78" i="9"/>
  <c r="D69" i="9"/>
  <c r="D60" i="9"/>
  <c r="D24" i="9"/>
  <c r="D26" i="9" s="1"/>
  <c r="H118" i="8"/>
  <c r="H114" i="8"/>
  <c r="D112" i="8"/>
  <c r="D111" i="8"/>
  <c r="D110" i="8"/>
  <c r="D109" i="8"/>
  <c r="G116" i="8"/>
  <c r="H116" i="8"/>
  <c r="H113" i="8"/>
  <c r="G112" i="8"/>
  <c r="D104" i="8"/>
  <c r="D103" i="8"/>
  <c r="D100" i="8"/>
  <c r="D98" i="8"/>
  <c r="D95" i="8"/>
  <c r="I90" i="8"/>
  <c r="H89" i="8"/>
  <c r="F85" i="8"/>
  <c r="F84" i="8"/>
  <c r="D84" i="8"/>
  <c r="H67" i="8"/>
  <c r="I67" i="8"/>
  <c r="I66" i="8"/>
  <c r="H65" i="8"/>
  <c r="H64" i="8"/>
  <c r="H63" i="8"/>
  <c r="H62" i="8"/>
  <c r="E67" i="8"/>
  <c r="E65" i="8"/>
  <c r="E64" i="8"/>
  <c r="E62" i="8"/>
  <c r="E61" i="8"/>
  <c r="D69" i="8"/>
  <c r="D68" i="8"/>
  <c r="D67" i="8"/>
  <c r="D66" i="8"/>
  <c r="D65" i="8"/>
  <c r="D133" i="7"/>
  <c r="D131" i="7"/>
  <c r="C133" i="7"/>
  <c r="D125" i="7"/>
  <c r="D124" i="7"/>
  <c r="D123" i="7"/>
  <c r="C125" i="7"/>
  <c r="E114" i="7"/>
  <c r="E113" i="7"/>
  <c r="E112" i="7"/>
  <c r="E111" i="7"/>
  <c r="C114" i="7"/>
  <c r="C113" i="7"/>
  <c r="H91" i="7"/>
  <c r="H90" i="7"/>
  <c r="H89" i="7"/>
  <c r="G91" i="7"/>
  <c r="G90" i="7"/>
  <c r="G89" i="7"/>
  <c r="F91" i="7"/>
  <c r="F90" i="7"/>
  <c r="F89" i="7"/>
  <c r="C90" i="7"/>
  <c r="C93" i="7" s="1"/>
  <c r="C88" i="7"/>
  <c r="C79" i="7"/>
  <c r="C77" i="7"/>
  <c r="C75" i="7"/>
  <c r="C74" i="7"/>
  <c r="D68" i="7"/>
  <c r="C68" i="7"/>
  <c r="B68" i="7"/>
  <c r="F65" i="7"/>
  <c r="F64" i="7"/>
  <c r="F59" i="7"/>
  <c r="E21" i="7"/>
  <c r="E20" i="7"/>
  <c r="E19" i="7"/>
  <c r="E18" i="7"/>
  <c r="E17" i="7"/>
  <c r="E16" i="7"/>
  <c r="E15" i="7"/>
  <c r="E14" i="7"/>
  <c r="E13" i="7"/>
  <c r="D22" i="7"/>
  <c r="D21" i="7"/>
  <c r="D20" i="7"/>
  <c r="D17" i="7"/>
  <c r="D15" i="7"/>
  <c r="L4" i="12" l="1"/>
  <c r="K4" i="12"/>
  <c r="H5" i="12" s="1"/>
  <c r="I5" i="12" s="1"/>
  <c r="D81" i="9"/>
  <c r="F78" i="9" s="1"/>
  <c r="D61" i="9"/>
  <c r="D62" i="9" s="1"/>
  <c r="F59" i="9" s="1"/>
  <c r="D79" i="9"/>
  <c r="D80" i="9" s="1"/>
  <c r="D70" i="9"/>
  <c r="D71" i="9" s="1"/>
  <c r="C94" i="7"/>
  <c r="C95" i="7" s="1"/>
  <c r="L5" i="12" l="1"/>
  <c r="L6" i="12" s="1"/>
  <c r="K6" i="12" s="1"/>
  <c r="H7" i="12" s="1"/>
  <c r="I7" i="12" s="1"/>
  <c r="F65" i="11"/>
  <c r="G66" i="11" s="1"/>
  <c r="G60" i="9"/>
  <c r="F3" i="10"/>
  <c r="D72" i="9"/>
  <c r="F70" i="9" s="1"/>
  <c r="F69" i="9"/>
  <c r="D188" i="6"/>
  <c r="D187" i="6"/>
  <c r="D186" i="6"/>
  <c r="D184" i="6"/>
  <c r="K5" i="12" l="1"/>
  <c r="G71" i="9"/>
  <c r="F4" i="10"/>
  <c r="E4" i="10" s="1"/>
  <c r="E3" i="10"/>
  <c r="L3" i="10"/>
  <c r="D166" i="6"/>
  <c r="D165" i="6"/>
  <c r="D163" i="6"/>
  <c r="G160" i="6"/>
  <c r="F159" i="6"/>
  <c r="F158" i="6"/>
  <c r="D154" i="6"/>
  <c r="D128" i="6"/>
  <c r="D129" i="6"/>
  <c r="D131" i="6"/>
  <c r="D127" i="6"/>
  <c r="D132" i="6" s="1"/>
  <c r="E132" i="6"/>
  <c r="C51" i="6"/>
  <c r="F51" i="6"/>
  <c r="H50" i="6"/>
  <c r="F38" i="6"/>
  <c r="E38" i="6"/>
  <c r="F14" i="6"/>
  <c r="K3" i="10" l="1"/>
  <c r="L4" i="10"/>
  <c r="G136" i="5"/>
  <c r="K4" i="10" l="1"/>
  <c r="H5" i="10" s="1"/>
  <c r="I5" i="10" s="1"/>
  <c r="G79" i="9" s="1"/>
  <c r="G80" i="9" s="1"/>
  <c r="L5" i="10"/>
  <c r="F67" i="5"/>
  <c r="G69" i="5"/>
  <c r="G68" i="5"/>
  <c r="G62" i="5"/>
  <c r="F61" i="5"/>
  <c r="G53" i="5"/>
  <c r="E53" i="5"/>
  <c r="E52" i="5"/>
  <c r="G45" i="5"/>
  <c r="G37" i="5"/>
  <c r="F36" i="5"/>
  <c r="G32" i="5"/>
  <c r="F31" i="5"/>
  <c r="E25" i="5"/>
  <c r="E24" i="5"/>
  <c r="F23" i="5"/>
  <c r="D26" i="5"/>
  <c r="D16" i="5"/>
  <c r="D17" i="5"/>
  <c r="D18" i="5" s="1"/>
  <c r="D19" i="5" s="1"/>
  <c r="D20" i="5" s="1"/>
  <c r="D21" i="5" s="1"/>
  <c r="D22" i="5" s="1"/>
  <c r="D23" i="5" s="1"/>
  <c r="D24" i="5" s="1"/>
  <c r="D25" i="5" s="1"/>
  <c r="D15" i="5"/>
  <c r="D14" i="5"/>
  <c r="D13" i="5"/>
  <c r="F136" i="4"/>
  <c r="F135" i="4"/>
  <c r="E134" i="4"/>
  <c r="F126" i="4"/>
  <c r="E125" i="4"/>
  <c r="F105" i="4"/>
  <c r="E104" i="4"/>
  <c r="D100" i="4"/>
  <c r="E94" i="4"/>
  <c r="E93" i="4"/>
  <c r="E91" i="4"/>
  <c r="F88" i="4"/>
  <c r="E88" i="4"/>
  <c r="F13" i="5" a="1"/>
  <c r="K5" i="10" l="1"/>
  <c r="L6" i="10"/>
  <c r="K6" i="10" s="1"/>
  <c r="F13" i="5"/>
  <c r="F14" i="5" s="1"/>
  <c r="F18" i="5" s="1"/>
  <c r="D36" i="4"/>
  <c r="D29" i="4"/>
  <c r="D27" i="4"/>
  <c r="F159" i="1"/>
  <c r="D158" i="1"/>
  <c r="F158" i="1" s="1"/>
  <c r="F155" i="1"/>
  <c r="F156" i="1"/>
  <c r="F157" i="1"/>
  <c r="F154" i="1"/>
  <c r="C156" i="1"/>
  <c r="D156" i="1"/>
  <c r="C157" i="1"/>
  <c r="D157" i="1"/>
  <c r="C158" i="1" s="1"/>
  <c r="D155" i="1"/>
  <c r="C155" i="1"/>
  <c r="E151" i="1"/>
  <c r="E150" i="1"/>
  <c r="E149" i="1"/>
  <c r="F95" i="1"/>
  <c r="E95" i="1"/>
  <c r="F7" i="1"/>
  <c r="E9" i="1"/>
  <c r="E8" i="1"/>
  <c r="G24" i="5" l="1"/>
  <c r="G25" i="5" s="1"/>
  <c r="G19" i="5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RICHVALUE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futureMetadata name="XLRICHVALUE" count="1">
    <bk>
      <extLst>
        <ext uri="{3e2802c4-a4d2-4d8b-9148-e3be6c30e623}">
          <xlrd:rvb i="0"/>
        </ext>
      </extLst>
    </bk>
  </future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<sst xmlns="http://schemas.openxmlformats.org/spreadsheetml/2006/main" count="2333" uniqueCount="1587">
  <si>
    <t>سال 1404</t>
  </si>
  <si>
    <t>تهران</t>
  </si>
  <si>
    <t>دوره آفلاین تهیه صورت های مالی اساسی</t>
  </si>
  <si>
    <t>صورت های مالی اساسی</t>
  </si>
  <si>
    <t>طهران</t>
  </si>
  <si>
    <t>صورت های مالی قبل از 1398</t>
  </si>
  <si>
    <t>ترازنامه</t>
  </si>
  <si>
    <t>صورت سود و زیان</t>
  </si>
  <si>
    <t>صورت سودو زیان جامع</t>
  </si>
  <si>
    <t>صورت جریان وجوه نقد</t>
  </si>
  <si>
    <t>یادداشت های توضیحی</t>
  </si>
  <si>
    <t>مجموعه کامل صورت های مالی</t>
  </si>
  <si>
    <t>بعد از سال 1398</t>
  </si>
  <si>
    <t>صورت وضعیت مالی</t>
  </si>
  <si>
    <t>صورت تغییرات در حقوق مالکانه</t>
  </si>
  <si>
    <t>صورت جریان های نقد</t>
  </si>
  <si>
    <t>یادداشت های توضیحی همراه</t>
  </si>
  <si>
    <t>چارچوب نظری</t>
  </si>
  <si>
    <t>استاندارد های حسابداری</t>
  </si>
  <si>
    <t>مورد استفاده حسابداران</t>
  </si>
  <si>
    <t>هدف گزارشگری مالی</t>
  </si>
  <si>
    <t>اهداف اصلی</t>
  </si>
  <si>
    <t>اهداف فرعی</t>
  </si>
  <si>
    <t>اول: ارایه اطلاعات مفید درباره واحد تجاری جهت استفاده در تصمیم گیری های اقتصادی توسط استفاده کنندگان</t>
  </si>
  <si>
    <t>درون سازمان</t>
  </si>
  <si>
    <t>مدیران</t>
  </si>
  <si>
    <t>کارکنان</t>
  </si>
  <si>
    <t>برون سازمان</t>
  </si>
  <si>
    <t>سهامداران</t>
  </si>
  <si>
    <t>اعتبار دهندگان</t>
  </si>
  <si>
    <t>مالیات</t>
  </si>
  <si>
    <t>بورس</t>
  </si>
  <si>
    <t>اتحادیه های کارگری</t>
  </si>
  <si>
    <t>دانشجویان</t>
  </si>
  <si>
    <t>جامعه</t>
  </si>
  <si>
    <t>حسابداری مدیریت</t>
  </si>
  <si>
    <t>حسابداری مالی</t>
  </si>
  <si>
    <t>حسابداری بها</t>
  </si>
  <si>
    <t>قیمت گذاری</t>
  </si>
  <si>
    <t>موجودی کالا</t>
  </si>
  <si>
    <t>کمی</t>
  </si>
  <si>
    <t>کیفی</t>
  </si>
  <si>
    <t>درست اندازه گیری شده باشند</t>
  </si>
  <si>
    <t>درست ارایه شده باشند</t>
  </si>
  <si>
    <t>هدف اصلی دوم : ارایه اطلاعات مفید جهت بررسی وظیفه مباشرتی مدیریت</t>
  </si>
  <si>
    <t>بر اساس طبقه بندی صحیح صورت های مالی</t>
  </si>
  <si>
    <t>شرح</t>
  </si>
  <si>
    <t>شرکت الف</t>
  </si>
  <si>
    <t>شرکت ب</t>
  </si>
  <si>
    <t>سود</t>
  </si>
  <si>
    <t>عملیاتی</t>
  </si>
  <si>
    <t>غیر عملیاتی</t>
  </si>
  <si>
    <t>نقدی</t>
  </si>
  <si>
    <t>اول : ارایه اطلاعات مفید درباره منابع اقتصادی واحد تجاری- ادعای بر انها . تغییرات رخ داده بر انها</t>
  </si>
  <si>
    <t>منابع اقتصادی</t>
  </si>
  <si>
    <t>دارایی های</t>
  </si>
  <si>
    <t>تحت کنترل- ناشی از رویداد های گذشته و دارای منافع آتی</t>
  </si>
  <si>
    <t>ادعای بر انها</t>
  </si>
  <si>
    <t>بدهیها  و حقوق مالکانه</t>
  </si>
  <si>
    <t>سود و زیان</t>
  </si>
  <si>
    <t>سود و زیان جامع</t>
  </si>
  <si>
    <t>تغییرات در حقوق مالکانه</t>
  </si>
  <si>
    <t>دوم : ارایه اطلاعات مفید درباره وضعیت نقدی واحد تجاری- ریسک ها زمانبندی ها</t>
  </si>
  <si>
    <t>جریان های نقد</t>
  </si>
  <si>
    <t>صورت های مالی چه زمانی تهیه شود ؟</t>
  </si>
  <si>
    <t>باید حداقل سالانه تهیه شود</t>
  </si>
  <si>
    <t>3 ماهه</t>
  </si>
  <si>
    <t>6ماهه</t>
  </si>
  <si>
    <t>9 ماهه</t>
  </si>
  <si>
    <t>سالانه</t>
  </si>
  <si>
    <t>حسابرسی شده</t>
  </si>
  <si>
    <t xml:space="preserve"> چه واحد های تجاری باید صورت های مالی اساسی  حسابرسی شده ارایه کنند ؟</t>
  </si>
  <si>
    <t>قانون های متفاوت</t>
  </si>
  <si>
    <t>تسهیلات بانکی</t>
  </si>
  <si>
    <t>مناقصه مزاید</t>
  </si>
  <si>
    <t>پیمانکاری</t>
  </si>
  <si>
    <t>نهاد مالی</t>
  </si>
  <si>
    <t>طبق قانون مالیات های مستقیم چه شرکت هایی باید صورت های مالی حسابرسی شده ارایه کنند ؟</t>
  </si>
  <si>
    <t>ماده 272 ق م م</t>
  </si>
  <si>
    <t>ب م م</t>
  </si>
  <si>
    <t>با مسئولیت محدود</t>
  </si>
  <si>
    <t>sd</t>
  </si>
  <si>
    <t>صندوق دار</t>
  </si>
  <si>
    <t>واحد تجاری را بر اساس نوع فعالیت</t>
  </si>
  <si>
    <t>بر اساس حجم فعالیت</t>
  </si>
  <si>
    <t>شعب شرکت های خارجی</t>
  </si>
  <si>
    <t>فروش</t>
  </si>
  <si>
    <t>دارایی ها</t>
  </si>
  <si>
    <t>300 میلیارد ریال</t>
  </si>
  <si>
    <t>500 میلیارد  ریال</t>
  </si>
  <si>
    <t>تا 3 ماه بعد از پایان تاریخ انقضای ارایه اظهارنامه مالیاتی</t>
  </si>
  <si>
    <t>سال مالی</t>
  </si>
  <si>
    <t>fiscal year</t>
  </si>
  <si>
    <t>منتهی به 29 اسفند 1402</t>
  </si>
  <si>
    <t>اظهارنامه</t>
  </si>
  <si>
    <t>TaxReturn</t>
  </si>
  <si>
    <t>31 تیر 1403</t>
  </si>
  <si>
    <t>صورت مالی حسابرسی شده</t>
  </si>
  <si>
    <t>audited financial statements</t>
  </si>
  <si>
    <t>30 مهر 1403</t>
  </si>
  <si>
    <t>تمرین :</t>
  </si>
  <si>
    <t>اگر شرکتی ملزم به ارایه صورت های مالی حسابرسی شده بوده است و ارایه ندهد</t>
  </si>
  <si>
    <t>چه جرایمی دارد ؟</t>
  </si>
  <si>
    <t>و آیا باعث رد دفاتر می شود یا خیر ؟</t>
  </si>
  <si>
    <t>در صورت های مالی سالانه مخاطب صفحه اول کیست ؟</t>
  </si>
  <si>
    <t>در مورد ارکان شرکت ها اطلاعات داشته باشیم</t>
  </si>
  <si>
    <t>قانون تجارت</t>
  </si>
  <si>
    <t>قانون تجاری1312</t>
  </si>
  <si>
    <t>از ماده</t>
  </si>
  <si>
    <t>تا ماده</t>
  </si>
  <si>
    <t>از ماده 1 تا 20</t>
  </si>
  <si>
    <t>از 94 تا 600</t>
  </si>
  <si>
    <t>قانون اصلاحیه قانون تجارت 1347</t>
  </si>
  <si>
    <t>بابت شرکت سهامی ارکانی معرفی شده است</t>
  </si>
  <si>
    <t>رکن تصمیم گیر</t>
  </si>
  <si>
    <t>رکن ناظر</t>
  </si>
  <si>
    <t>رکن مجری</t>
  </si>
  <si>
    <t>مجامع</t>
  </si>
  <si>
    <t>بازرس قانونی</t>
  </si>
  <si>
    <t>هیات مدیره</t>
  </si>
  <si>
    <t>وظیفه در قبال صورت مالی</t>
  </si>
  <si>
    <t>تهیه کننده</t>
  </si>
  <si>
    <t>بررسی کننده</t>
  </si>
  <si>
    <t>تصویب کننده</t>
  </si>
  <si>
    <t>مخاطب صفحه اول صورت های مالی سالانه- رکن تصمیم گیر</t>
  </si>
  <si>
    <t>سالانه- برای میان دوره؟</t>
  </si>
  <si>
    <t>آیا قرار است صورت های مالی میان دوره تصویب شود ؟</t>
  </si>
  <si>
    <t>خیر</t>
  </si>
  <si>
    <t>تاریخ ترازنامه</t>
  </si>
  <si>
    <t>تاریخ صورت وضعیت مالی</t>
  </si>
  <si>
    <t>تاریخ پایان دوره گزارشگری</t>
  </si>
  <si>
    <t>آخرین روز دوره مورد گزارش</t>
  </si>
  <si>
    <t>اکر سال مالی مورد گزارش منتهی به 29 اسفند 1402 باشد</t>
  </si>
  <si>
    <t>1402/12/29</t>
  </si>
  <si>
    <t>تاریخ تایید صورت های هیات مدیره در آن روز آخرین تغییرات در صورت های مالی را قبل از انتشار انجام داده است</t>
  </si>
  <si>
    <t>تاریخ تایید صورت های مالی</t>
  </si>
  <si>
    <t>1403/03/31</t>
  </si>
  <si>
    <t>رویداد های بعد از تاریخ ترازنامه- صورت وضعیت مالی- پایان دوره گزارشگری</t>
  </si>
  <si>
    <t>رویداد های تعدیلی</t>
  </si>
  <si>
    <t>اطلاعاتی به ما می دهد درباره موضوعی که در زمان دوره مالی بوده است- اما ما بعد از سال فهمیدیم</t>
  </si>
  <si>
    <t>رویداد های غیر تعدیلی</t>
  </si>
  <si>
    <t>رویدادی که بعد از سال مالی رخ داده اما دانستن یا ندانستن آن می تواند بر تصمیم استفاده کننده اثر داشته باشد</t>
  </si>
  <si>
    <t>منجر به اصلاح صورت های مالی می شود</t>
  </si>
  <si>
    <t>در صورت های مالی افشا می شود</t>
  </si>
  <si>
    <t xml:space="preserve">ورشکستگی یکی از مشتریان عمده در تاریخ21 خرداد </t>
  </si>
  <si>
    <t>تعدیلی یا خیر؟</t>
  </si>
  <si>
    <t>کاهش ارزش سرمایه گذاری در تاریخ 21 خرداد</t>
  </si>
  <si>
    <t>مفهوم اهمیت</t>
  </si>
  <si>
    <t>حسابداری</t>
  </si>
  <si>
    <t>اطلاعاتی که دانستن یا ندانستن آن می تواند بر تصمیم استفاده کننده اثر بگذارد</t>
  </si>
  <si>
    <t>حسابرسی</t>
  </si>
  <si>
    <t>آن سطحی که اگر حسابرسی خطایی پیدا کند که به تنهایی یا در مجموع از ان عدد بزرگتر باشد- اظهار نظر خود را تعدیل می کند</t>
  </si>
  <si>
    <t>روش سازمان حسابرسی</t>
  </si>
  <si>
    <t>انواع اظهار نظر</t>
  </si>
  <si>
    <t>تعدیل نشده</t>
  </si>
  <si>
    <t>مقبول</t>
  </si>
  <si>
    <t>تعدیل شده</t>
  </si>
  <si>
    <t>مشروط</t>
  </si>
  <si>
    <t>مردود</t>
  </si>
  <si>
    <t>عدم اظهار نظر</t>
  </si>
  <si>
    <t>سطح اهمیت</t>
  </si>
  <si>
    <t>materiality</t>
  </si>
  <si>
    <t>جمع دارایی ها</t>
  </si>
  <si>
    <t>جمع در آمد ها</t>
  </si>
  <si>
    <t>جمع دارایی ها ودرآمد ها</t>
  </si>
  <si>
    <t>میانگین</t>
  </si>
  <si>
    <t>مبنای محاسبه سطح اهمیت</t>
  </si>
  <si>
    <t>از</t>
  </si>
  <si>
    <t>تا</t>
  </si>
  <si>
    <t>نرخ</t>
  </si>
  <si>
    <t>اهمیت طبقه</t>
  </si>
  <si>
    <t>عدم توافق</t>
  </si>
  <si>
    <t>عدم رعاتی استاندارد حسابداری یا قالب گزارشگری</t>
  </si>
  <si>
    <t>محدودیت</t>
  </si>
  <si>
    <t>حسابرسی خواسته رسیدگی کند به هر دلیلی نشده</t>
  </si>
  <si>
    <t>ابهام</t>
  </si>
  <si>
    <t>موضوعی نتیجه اش منوط به آینده است</t>
  </si>
  <si>
    <t>با اهمیت</t>
  </si>
  <si>
    <t>فراگیر- اساسی</t>
  </si>
  <si>
    <t>10 برابر سطح اهمیت</t>
  </si>
  <si>
    <t>آن خطا بیش از 30 درصد یک صورت مالی</t>
  </si>
  <si>
    <t>ناشی از اصلاح ان خطا سود تبدیل به زیان شود و برعکس</t>
  </si>
  <si>
    <t>-</t>
  </si>
  <si>
    <t>چگونه از روی نگارش گزارش حسابرسی مستقل که اظهار نظر مشروط داده است- متوجه شویم که این مورد ناشی از عدم توافق است یا محدودیت؟</t>
  </si>
  <si>
    <t>رییس هیات مدیره برای کاری باید در زمان تهیه صورت های مالی به خارج از ایران برود- آیا می تواند در دفتر خانه به مدیر مالی وکالت رسمی بدهد برای امضا صفحه اول ؟</t>
  </si>
  <si>
    <t>در 99 درصد شرکت های امکان پذیر نیست</t>
  </si>
  <si>
    <t>جلسه دوم</t>
  </si>
  <si>
    <t>باید در صفحه های صورت های مالی نام صورت بعد نام  ونوع شرکت درج شود</t>
  </si>
  <si>
    <t>شرکت نمونه سهامی خاص</t>
  </si>
  <si>
    <t>سال و.....</t>
  </si>
  <si>
    <t>باید سطح دقت به کار رفته</t>
  </si>
  <si>
    <t>ریال</t>
  </si>
  <si>
    <t>هزار ریال</t>
  </si>
  <si>
    <t>میلیون ریال</t>
  </si>
  <si>
    <t>نتیجه عملکرد واحد تجاری را بابت سود های تحقق یافته نشان می دهد</t>
  </si>
  <si>
    <t>درآمد ها منهای هزینه ها</t>
  </si>
  <si>
    <t>درآمد : افزایش در حقوق مالکان بجز مواردی که ربط به آورده آنها دارد</t>
  </si>
  <si>
    <t>مازاد تجدید ارزیابی هم داشته باشیم</t>
  </si>
  <si>
    <t>تحقق نیافته</t>
  </si>
  <si>
    <t>صورت های مالی بجز صورت جریان های نقد باید بر مبنای تعهدی تهیه شوند</t>
  </si>
  <si>
    <t>درآمد ها در زمان تحقق و هزینه ها در زمان تحمل باید شناسایی شوند</t>
  </si>
  <si>
    <t>صورت سود و زیان چه طبقاتی دارد</t>
  </si>
  <si>
    <t>عملیات در حال تداوم</t>
  </si>
  <si>
    <t>فعالیت های عملیاتی</t>
  </si>
  <si>
    <t>فعالیت های غیر عملیاتی</t>
  </si>
  <si>
    <t>عملیات متوقف شده</t>
  </si>
  <si>
    <t>استمرار</t>
  </si>
  <si>
    <t>فعالیت اصلی</t>
  </si>
  <si>
    <t>استمرار پیوسته دارد</t>
  </si>
  <si>
    <t>است</t>
  </si>
  <si>
    <t>استمرار گسسته</t>
  </si>
  <si>
    <t>نیست</t>
  </si>
  <si>
    <t>نحوه ارایه در صورت های مالی</t>
  </si>
  <si>
    <t>ناخالص قبل از اثر مالیاتی</t>
  </si>
  <si>
    <t>بهای تمام شده</t>
  </si>
  <si>
    <t>سود ناخالص</t>
  </si>
  <si>
    <t>هزینه های عملیاتی</t>
  </si>
  <si>
    <t>سود عملیاتی</t>
  </si>
  <si>
    <t>خالص قبل از اثر مالیاتی</t>
  </si>
  <si>
    <t>یک دستگاه سمند</t>
  </si>
  <si>
    <t>ارزش دفتری</t>
  </si>
  <si>
    <t>فروش سمند</t>
  </si>
  <si>
    <t>ارزش دفتری سمند</t>
  </si>
  <si>
    <t>سود فروش دارایی ثابت</t>
  </si>
  <si>
    <t>سود فروش دارایی ثابت عدد خال 350</t>
  </si>
  <si>
    <t>ندارد</t>
  </si>
  <si>
    <t>بوده است</t>
  </si>
  <si>
    <t>خالص بعد از اثر مالیاتی</t>
  </si>
  <si>
    <t>کاربرگ 6020</t>
  </si>
  <si>
    <t>کاربرگ طبقه بندی اصلاحات- کاربرگ صورت های مالی</t>
  </si>
  <si>
    <t>هر عددی از تراز در کدام یادداشت صورت های مالی ارایه شده است و در کدام صورت مالی</t>
  </si>
  <si>
    <t>هر یادداشت صورت مالی از کدام کد های حساب تشکیل شده است</t>
  </si>
  <si>
    <t>mappnig</t>
  </si>
  <si>
    <t>هر کد حسابی درکدام صورت در کدام گروه حساب و کدام یادداشت ارایه شود</t>
  </si>
  <si>
    <t>3 روش برای تهیه کاربرگ صورت های مالی</t>
  </si>
  <si>
    <t>طبق عطف های سازمان حسابرسی آدرس مربوط به کاربرگ صورت های مالی 6020 بوده است .</t>
  </si>
  <si>
    <t>سنتی</t>
  </si>
  <si>
    <t>به اندازه تک تک یاددشات های صورت های مالی ستون ایجاد می کنیم- با مساوی مشخص می کنیم که هر عددی در کدام یادداشت ارایه شود</t>
  </si>
  <si>
    <t>بعد از ارسال به اسکل تراز اگر لازم بود تعدیلات زیر را انجام می دهیم</t>
  </si>
  <si>
    <t>1 - اصلاح خلاف ماهیت- برای مثال حساب های دریافتنی داریم با مانده بستانکار</t>
  </si>
  <si>
    <t>2- اصلاح طبقه بندی- حسابی داریم مانده است با ماهیت برابر است اما طبقه معین آن اشتباه است</t>
  </si>
  <si>
    <t>3- تهاتر ها</t>
  </si>
  <si>
    <t>ماهیت موضوهات یکی باشند- ریسک و زمانبندی یکی باشندو اجازه تهاتر هم داشته باشیم</t>
  </si>
  <si>
    <t>مثال بارز مانده دریافتنی و پرداختنی ارزش افزوده</t>
  </si>
  <si>
    <t>پیوت تیبل</t>
  </si>
  <si>
    <t>از یک ستون کمکی استفاده می کنیم- درج می کنیم که هر عددی در کدام یادداشت صورت مالی ارایه شود</t>
  </si>
  <si>
    <t>sumif</t>
  </si>
  <si>
    <t>از 3 تا ستون کمکی استفاده می کنیم- شماره اصلی- شماره فرعی- شماره نهایی</t>
  </si>
  <si>
    <t>درامد</t>
  </si>
  <si>
    <t>افزایش در حقوق مالکانه بجز مواردی که به آورده آنها مربوط است</t>
  </si>
  <si>
    <t>درامد عملیاتی</t>
  </si>
  <si>
    <t>افزایش در حقوق مالکانه بجز مواردی که به آورده آنها مربوط است ناشی از فعالیت های اصلی و مستمر واحد تجاری</t>
  </si>
  <si>
    <t>طبق استانداردحسابداری شماره</t>
  </si>
  <si>
    <t>ناشی از فروش کالا</t>
  </si>
  <si>
    <t>ناشی از ارایه خدمت</t>
  </si>
  <si>
    <t>ناشی از استفاده دیگران از دارایی های واحد تجاری</t>
  </si>
  <si>
    <t>سود سهام</t>
  </si>
  <si>
    <t>سود تضمین شده</t>
  </si>
  <si>
    <t>حق امتیاز ها</t>
  </si>
  <si>
    <t>درامد عملیاتی چه زمانی باشد شناسایی شود ؟ و به چه مبلغی باید شناسایی شود ؟</t>
  </si>
  <si>
    <t>زمانی که کالا انتقال مزایا و مخاطرات انحام شده- مخارج بعد از فروش مشخص باشد- و دریافت وجه آن محتمل باشد</t>
  </si>
  <si>
    <t>خدمات میزان تکمیل کار مشخص باشد- چقدر مانده تا تکمیل شود و هزینه ها مربوطه و بدانم پولش را میگیرم</t>
  </si>
  <si>
    <t>در زمان مجمع شرکت سرمایه پذیر</t>
  </si>
  <si>
    <t>در براساس گذر زمان</t>
  </si>
  <si>
    <t>بر اساس توافق</t>
  </si>
  <si>
    <t>درآمد ارایه خدمات</t>
  </si>
  <si>
    <t>باید عملیات کسب انجام شده باشد</t>
  </si>
  <si>
    <t>تحقق یافتن</t>
  </si>
  <si>
    <t>بدون معامله انحام می شود</t>
  </si>
  <si>
    <t>قرار داد بسته ایم</t>
  </si>
  <si>
    <t>کسب شدن</t>
  </si>
  <si>
    <t>باید میزان انجام گرفتن کار شناسایی شود</t>
  </si>
  <si>
    <t>شرکت ارایه خدمات آموزشی  یک دوره ثبت نام می کند که در این دوره تعداد 4 تا کلاس مساوی مبلغ دوره 100 میلیون ریال</t>
  </si>
  <si>
    <t>در روز ثبت نام باید 20 درصد را نقد بدهد مابقی را چک</t>
  </si>
  <si>
    <t>1 تیر 1403</t>
  </si>
  <si>
    <t>سند حسابداری</t>
  </si>
  <si>
    <t>بدهکار</t>
  </si>
  <si>
    <t>بستانکار</t>
  </si>
  <si>
    <t>بانک</t>
  </si>
  <si>
    <t>اسناد دریافتنی</t>
  </si>
  <si>
    <t>پیش دریافت</t>
  </si>
  <si>
    <t>کل پیش دریافت</t>
  </si>
  <si>
    <t>کسر می شود</t>
  </si>
  <si>
    <t>اسناد دریافتنی مربوط به پیش دریافت ها</t>
  </si>
  <si>
    <t>خالص</t>
  </si>
  <si>
    <t>تا انتهای سال مالی 3 تا دوره برگزار می شود</t>
  </si>
  <si>
    <t>کل دوره</t>
  </si>
  <si>
    <t>مبلغ دوره</t>
  </si>
  <si>
    <t>برگزار شده</t>
  </si>
  <si>
    <t>درآمد کسب شده</t>
  </si>
  <si>
    <t>پیش دریافت درآمد</t>
  </si>
  <si>
    <t>درآمد خدمات آموزشی</t>
  </si>
  <si>
    <t>تمرین : صورت های مالی شرکت های سبدگردان</t>
  </si>
  <si>
    <t>2 نوع درامد سبد گردانی</t>
  </si>
  <si>
    <t>ثابت سبد گردانی</t>
  </si>
  <si>
    <t>متغیر سبد گردانی</t>
  </si>
  <si>
    <t>درامد سود سهام</t>
  </si>
  <si>
    <t>در تاریخ 10 دی ماه 1402 تعداد 1 میلیون برگه از سهام شرکت شستا را خریداری کرده ایم</t>
  </si>
  <si>
    <t>شرکت شستا در تاریخ 31 تیر ماه 1403 مجمع برگزار کرد وبرای سال 1403 موارد زیر را تصویب کرد</t>
  </si>
  <si>
    <t>EPS</t>
  </si>
  <si>
    <t>DPS</t>
  </si>
  <si>
    <t>earning per share</t>
  </si>
  <si>
    <t>divident per share</t>
  </si>
  <si>
    <t>سود کسب شده هر سهم- سود خالص تقسیم بر میانگین موزون تعداد سهام</t>
  </si>
  <si>
    <t>سودو نقدی تقسیم شده توسط مجمع به ازای هر سهم</t>
  </si>
  <si>
    <t>سند حسابداری- 31 تیر</t>
  </si>
  <si>
    <t>سود سهام دریافتنی</t>
  </si>
  <si>
    <t>درآمد سود سهام</t>
  </si>
  <si>
    <t>اگر در مجمع شستا موارد زیر مصوب می شد باید چیکار می کردیم؟</t>
  </si>
  <si>
    <t>آزمون مالکیت باید سود هایی را شناسایی کینم که مربوط هب دوران پس از خرید ماست- نه از محل سود ها و اندوخته های</t>
  </si>
  <si>
    <t>مصوب قبل از تاریخ تحصیل</t>
  </si>
  <si>
    <t>سرمایه گذاری در سهم شستا</t>
  </si>
  <si>
    <t>تمرین</t>
  </si>
  <si>
    <t>گفتیم که شناسایی سود زمان در روز مجمع شرکت سرمایه پذیر است. آیا بابت این موضوع اسثنایی هم داریم ؟</t>
  </si>
  <si>
    <t>مراجعه شود به استاندارد 5</t>
  </si>
  <si>
    <t>جلسه سوم</t>
  </si>
  <si>
    <t>سود سپرده بانکی</t>
  </si>
  <si>
    <t>سود اوراق مشارکت</t>
  </si>
  <si>
    <t>عملا بر اساس گذر زمان و با نرخ موثر سرمایه گذاری</t>
  </si>
  <si>
    <t>شرکتی در تاریخ 15 اسفند ماه 1403 سپرده بانکی افتتاح می کند مبلغ 10 میلیارد ریال و موعد پرداخت سود هم 15 ام هر ماه</t>
  </si>
  <si>
    <t>سال مالی منتهی به 30 اسفند 1403 باشد- آیا ما باید سود سپرده بانکی شناسایی کنیم ؟ چقدر ؟</t>
  </si>
  <si>
    <t>مبلغ سپرده</t>
  </si>
  <si>
    <t>نرخ سپرده</t>
  </si>
  <si>
    <t>سود سالانه</t>
  </si>
  <si>
    <t>فروردین</t>
  </si>
  <si>
    <t>اردیبهشت</t>
  </si>
  <si>
    <t>خرداد</t>
  </si>
  <si>
    <t>تیر</t>
  </si>
  <si>
    <t>مرداد</t>
  </si>
  <si>
    <t>شهریور</t>
  </si>
  <si>
    <t>مهر</t>
  </si>
  <si>
    <t>آبان</t>
  </si>
  <si>
    <t>آذر</t>
  </si>
  <si>
    <t>دی</t>
  </si>
  <si>
    <t>بهمن</t>
  </si>
  <si>
    <t>اسفند</t>
  </si>
  <si>
    <t>تاریخ افتتاح</t>
  </si>
  <si>
    <t>1403/12/15</t>
  </si>
  <si>
    <t>تاریخ پایان سال مالی</t>
  </si>
  <si>
    <t>1403/12/30</t>
  </si>
  <si>
    <t>تعداد روز تحقق یافته</t>
  </si>
  <si>
    <t>سود قابل شناسایی</t>
  </si>
  <si>
    <t>سود سپرده دریافتنی</t>
  </si>
  <si>
    <t>درامد سود سپرده بانکی</t>
  </si>
  <si>
    <t>اوراق مشارکت</t>
  </si>
  <si>
    <t>تاریخ انتشار</t>
  </si>
  <si>
    <t>1403/01/01</t>
  </si>
  <si>
    <t>مبلغ اسمی</t>
  </si>
  <si>
    <t>نرخ سود</t>
  </si>
  <si>
    <t>سرمایه گذاری در اوراق مشارکت</t>
  </si>
  <si>
    <t>اعمال سود</t>
  </si>
  <si>
    <t>فصلی</t>
  </si>
  <si>
    <t>سند حسابداری=1403/01/01</t>
  </si>
  <si>
    <t>سند حسابداری 1403/03/31</t>
  </si>
  <si>
    <t>درامد نگهداشت اوراق مشارکت</t>
  </si>
  <si>
    <t>تاریخ خرید</t>
  </si>
  <si>
    <t>1403/02/01</t>
  </si>
  <si>
    <t>قیمت خرید</t>
  </si>
  <si>
    <t>سند حسابداری 1403/02/01</t>
  </si>
  <si>
    <t>سود اوراق دریافتنی</t>
  </si>
  <si>
    <t>تاریخ اعمال سود</t>
  </si>
  <si>
    <t>ناشر صادر کننده اوراق کاری با معاملات بین دوره ندارد</t>
  </si>
  <si>
    <t>در روز اعمال سود هر کس اوراق را دارد- سود به آن می رسد</t>
  </si>
  <si>
    <t>حق امتیاز  ها</t>
  </si>
  <si>
    <t>پژوی فرانسه برای اینکه ایران خودور از لیسانس استفاده کند فرض کنیم</t>
  </si>
  <si>
    <t>توافق زیر</t>
  </si>
  <si>
    <t>مبلغ ثابت</t>
  </si>
  <si>
    <t>منغیر</t>
  </si>
  <si>
    <t>درامد حق امتیاز</t>
  </si>
  <si>
    <t>تعداد فروش پژو</t>
  </si>
  <si>
    <t>تعداد فروش</t>
  </si>
  <si>
    <t>درامد حق امتیاز ثابت</t>
  </si>
  <si>
    <t>درآمد حق امتیاز بخش متغیر</t>
  </si>
  <si>
    <t>برای افشای کافی</t>
  </si>
  <si>
    <t>discloser</t>
  </si>
  <si>
    <t>adequate</t>
  </si>
  <si>
    <t>بابت هر قلمی در یادداشت :</t>
  </si>
  <si>
    <t>1- توضیحی بابت ماهیت موضوع</t>
  </si>
  <si>
    <t>2- افشا درابره نرخ ها مورد استفاده تسعیر و قوانین بخشنامه های آمره</t>
  </si>
  <si>
    <t>3- توجیه نوسان</t>
  </si>
  <si>
    <t>4- عطف .و ربط بین یادداشت های</t>
  </si>
  <si>
    <t>شخص وابسته کیست ؟</t>
  </si>
  <si>
    <t>چیا باید افشا شوند؟</t>
  </si>
  <si>
    <t xml:space="preserve"> تا چه حدی افشا شوند</t>
  </si>
  <si>
    <t>چرا افشا شوند ؟</t>
  </si>
  <si>
    <t xml:space="preserve">اشخاص وابسته از دید </t>
  </si>
  <si>
    <t>فوانین ناشران بورسی</t>
  </si>
  <si>
    <t>قوانین بانکی ذینفع واحد و....</t>
  </si>
  <si>
    <t>قانون تجارت اصلاحیه</t>
  </si>
  <si>
    <t>قانون تجارت اصلی ترین موارد ماده 129 قانون تجارت</t>
  </si>
  <si>
    <t>تشیفات انجام معامله و اقدام قبل و بعد از انجام معامله بحث می شود</t>
  </si>
  <si>
    <t>آیا معامله با اخشاص وابسته در روال عادی عملیات صورت گرفته است یا خیر؟</t>
  </si>
  <si>
    <t>آیا وضعیت مالی عملکرد مالی و انعطاف پذیری مالی واحد تجاری تحت تاثر اشخاص وابسته بوده است یا خیر ؟</t>
  </si>
  <si>
    <t>شرح درصد سرمایه گذاری</t>
  </si>
  <si>
    <t>بین 20 تا 50 درصد</t>
  </si>
  <si>
    <t>بیش از 50 درصد</t>
  </si>
  <si>
    <t>نفوذ قابل ملاحظه</t>
  </si>
  <si>
    <t>کنترل</t>
  </si>
  <si>
    <t>زیر 20 درصد</t>
  </si>
  <si>
    <t>دارد</t>
  </si>
  <si>
    <t>تعداد اعضای هیات مدیره</t>
  </si>
  <si>
    <t>صورت مالی</t>
  </si>
  <si>
    <t>مجموعه</t>
  </si>
  <si>
    <t>تلفیقی</t>
  </si>
  <si>
    <t>شرکت اصلی</t>
  </si>
  <si>
    <t>شرکت فرعی1</t>
  </si>
  <si>
    <t>شرکت فرعی 2</t>
  </si>
  <si>
    <t>شرکت فرعی 3</t>
  </si>
  <si>
    <t>100 درصد</t>
  </si>
  <si>
    <t>شرکت وابسته</t>
  </si>
  <si>
    <t>آیا معاملات انحام شده با این افراد در روال عادی عملیات بوده است</t>
  </si>
  <si>
    <t>نرخ فروش</t>
  </si>
  <si>
    <t>فروش نسیه</t>
  </si>
  <si>
    <t>وابسته</t>
  </si>
  <si>
    <t>معامله انحام نشود</t>
  </si>
  <si>
    <t>به بازرس بگو</t>
  </si>
  <si>
    <t>مدیر ذینفع نباید در رای گیری شرکت می کرده</t>
  </si>
  <si>
    <t>در اولین مجمع هم باید معاملات تنفیذ شود</t>
  </si>
  <si>
    <t>تمرین شرکت مادر قراردا بیمه تکمیلی را به بیمه الف امضا می کند</t>
  </si>
  <si>
    <t>بعد برای کل شرکت های زیر مجموعه اعلامیه بدهکار صادر می کند</t>
  </si>
  <si>
    <t>آیا این معامله که شرکت اصلی با بیمه الف انجام داده است بخشی که برای ما اعلامیه شده سا ت -باید در صورت های مالی فرعی تحت این موضوع افشا شود ؟</t>
  </si>
  <si>
    <t>و آیا مشمول ماده 129 است ؟</t>
  </si>
  <si>
    <t>حسابرس در پیش نویس گزارش خود در بخش معاملات با اشخاص وابسته درج کرده است که عدم مشارکت مدیر ذینفع در تصویب معاملات رعایت نشده است</t>
  </si>
  <si>
    <t>شما بعنوان مدیر مالی مجموعه چه پیشنهادی دارید؟ یا چه اقدامی انجام می دهید که این موض.ع از گزارش شما حذف شود .</t>
  </si>
  <si>
    <t>فروش های شرکت به دلار است - مشمول معاملات صادرات می شود</t>
  </si>
  <si>
    <t>فرض 100 درصد معاف است</t>
  </si>
  <si>
    <t>تاریخ 1403//01/01</t>
  </si>
  <si>
    <t>مبلغ فروش دلاری</t>
  </si>
  <si>
    <t>نرخ تسعیر</t>
  </si>
  <si>
    <t>مبلغ فروش ریالی</t>
  </si>
  <si>
    <t>نرخ دلار</t>
  </si>
  <si>
    <t>آیا باید مبلغ فروش تسعیر شود ؟</t>
  </si>
  <si>
    <t>یا خیر باید فقط حساب دریافتنی تسعیر شود ؟</t>
  </si>
  <si>
    <t>حالا شد سود وزیان تسعیر ارز دریافتنی ها- آیا این سود تسعیر هم معاف است ؟</t>
  </si>
  <si>
    <t>جلسه چهارم</t>
  </si>
  <si>
    <t>expenditures</t>
  </si>
  <si>
    <t>مخارج</t>
  </si>
  <si>
    <t xml:space="preserve">دارایی </t>
  </si>
  <si>
    <t>بدهی</t>
  </si>
  <si>
    <t>حقوق مالکانه</t>
  </si>
  <si>
    <t>درآمد</t>
  </si>
  <si>
    <t>هزینه</t>
  </si>
  <si>
    <t>دارای منافع آتی و تحت کنترل</t>
  </si>
  <si>
    <t>دارایی- Asset</t>
  </si>
  <si>
    <t>نفع قبلا کسب شده-</t>
  </si>
  <si>
    <t>هزینه-expenses</t>
  </si>
  <si>
    <t>فاقد منافع</t>
  </si>
  <si>
    <t>زیان-loss</t>
  </si>
  <si>
    <t>شرکت تولیدی در یک شهرک صنعتی</t>
  </si>
  <si>
    <t>تا جاده اصلی یک کیلومتر فاصله دارد</t>
  </si>
  <si>
    <t>آسفالت</t>
  </si>
  <si>
    <t>آیا دارای منافع آتی هست؟</t>
  </si>
  <si>
    <t>بله</t>
  </si>
  <si>
    <t>تحت کنترل</t>
  </si>
  <si>
    <t>ناشی از موارد گذشته</t>
  </si>
  <si>
    <t>نقد</t>
  </si>
  <si>
    <t>اصلی</t>
  </si>
  <si>
    <t>فرعی</t>
  </si>
  <si>
    <t>تلفیق</t>
  </si>
  <si>
    <t>بهای تمام شده کالای فروش رفته</t>
  </si>
  <si>
    <t>داراییها</t>
  </si>
  <si>
    <t xml:space="preserve">هزینه های </t>
  </si>
  <si>
    <t>نفع آن در زمان شناسایی فروش کسب شده است- هزینه شناسایی</t>
  </si>
  <si>
    <t xml:space="preserve">هر آیتمی در سود و زیان ارایه می شود- هزینه شده است </t>
  </si>
  <si>
    <t>شناسایی موارد هزینه ایی</t>
  </si>
  <si>
    <t>رابطه علت و معلولی</t>
  </si>
  <si>
    <t>تخصیص بین دوره</t>
  </si>
  <si>
    <t>گذر زمان- هزینه اجاره</t>
  </si>
  <si>
    <t>تخصیص سیستماتیک</t>
  </si>
  <si>
    <t>هزینه استهلاک</t>
  </si>
  <si>
    <t>شناخت بلادرنگ</t>
  </si>
  <si>
    <t>زیان ها</t>
  </si>
  <si>
    <t>اجزا بهای تمام شده</t>
  </si>
  <si>
    <t>مواد مستقیم</t>
  </si>
  <si>
    <t>دستمزد مستقیم</t>
  </si>
  <si>
    <t>سربار ساخت</t>
  </si>
  <si>
    <t>بهای اولیه</t>
  </si>
  <si>
    <t>بهای تبدیل</t>
  </si>
  <si>
    <t>شرکتیالف- شرکتی که دارای تکنولوژی بالایی نیست- خام فروش- مواد می فروشد یا کمترین میزان ارزش افزوده</t>
  </si>
  <si>
    <t>شرکت ب - شرکت با تکنولوژی بالا می باشد- با استفاده از ارزش افزوده ایی که برای کالا ایجاد می کند- آن را ارزشمند می کند</t>
  </si>
  <si>
    <t>فولاد مبارکه</t>
  </si>
  <si>
    <t>یک تن فولاد را معامله می کند 950 میلیون ریال</t>
  </si>
  <si>
    <t>اپل</t>
  </si>
  <si>
    <t>90 گرم از آن فولاد با سایر مواد متریال- 1000 دلار</t>
  </si>
  <si>
    <t xml:space="preserve">تمرین </t>
  </si>
  <si>
    <t>بر اساس آخرین گزارش بانک مرکزی- تراز پرداخت ها ایران- تراز تجاری</t>
  </si>
  <si>
    <t>صادرات</t>
  </si>
  <si>
    <t>واردات</t>
  </si>
  <si>
    <t>تن</t>
  </si>
  <si>
    <t>فی</t>
  </si>
  <si>
    <t>جمع کل</t>
  </si>
  <si>
    <t>خام فروشی- مواد اولیه- یا کالای های با ارزش افزوده پایین</t>
  </si>
  <si>
    <t>کالای با تکنولوزی بالا وارد می کند</t>
  </si>
  <si>
    <t>پ پ</t>
  </si>
  <si>
    <t>مواد اولیه تولید مواد پلاستیک مسواک</t>
  </si>
  <si>
    <t>200 میلیون ریال</t>
  </si>
  <si>
    <t>شرکت سنسودال- نمایندگی</t>
  </si>
  <si>
    <t>مسواک</t>
  </si>
  <si>
    <t>50 گرم</t>
  </si>
  <si>
    <t>150 هزار تومان</t>
  </si>
  <si>
    <t xml:space="preserve">بها یابی- مشخص کنیم مبلغ هر واحد موضوع بهایابی چقدر است </t>
  </si>
  <si>
    <t>بهای تمام شده یک دستگاه سمند</t>
  </si>
  <si>
    <t>موضوع بها یابی</t>
  </si>
  <si>
    <t>استخر بها=cost pool</t>
  </si>
  <si>
    <t>مواد</t>
  </si>
  <si>
    <t>دستمزد</t>
  </si>
  <si>
    <t>آبو برق</t>
  </si>
  <si>
    <t>اجاره</t>
  </si>
  <si>
    <t>رنگ</t>
  </si>
  <si>
    <t>قابل رهگیری مستقیم</t>
  </si>
  <si>
    <t>تسهیم</t>
  </si>
  <si>
    <t>تخصیص</t>
  </si>
  <si>
    <t>هزینه های جذب نشده در تولید</t>
  </si>
  <si>
    <t>برای سال آتی پیش بینی از میزان ظرفیت - بر همین اساس یک سری اقلام ثابت را برنامه ریزی می کنیم</t>
  </si>
  <si>
    <t>ظرفیت ها :</t>
  </si>
  <si>
    <t>ظرفیت اسمی</t>
  </si>
  <si>
    <t>ظرفیتی که توسط مهندسان تولید بدون توجه به محدودیت های مشخص می شود .</t>
  </si>
  <si>
    <t>ظرفیت عملی</t>
  </si>
  <si>
    <t>ظرفیتی که با توجه به محدودیت های قابل پیش بینی مشخص می شود .</t>
  </si>
  <si>
    <t>ظرفیت واقعی</t>
  </si>
  <si>
    <t>ظرفیتی که واقعا در سنوات قبل توانسته ایم به آن برسیم</t>
  </si>
  <si>
    <t>ظرفیت واقعی- تولید</t>
  </si>
  <si>
    <t>هزینه ها</t>
  </si>
  <si>
    <t xml:space="preserve">هزینه جذب نشده در تولید از یادداشت بهای تمام شده خارج شده و در سایر هزینه های ارایه می شود </t>
  </si>
  <si>
    <t>اگر موجودی پایان دوره خیلی زیاد نباشد- عملا تاثیری در سود و زیان ندراد- اما طبقه هزینه ها عوض می شود</t>
  </si>
  <si>
    <t>هزینه های عمومی اداری فروش</t>
  </si>
  <si>
    <t>هزینه های پرداختی بابت کارمزد های بانکی</t>
  </si>
  <si>
    <t>هزینه های عمومی اداری</t>
  </si>
  <si>
    <t>هزینه های مالی</t>
  </si>
  <si>
    <t>ok</t>
  </si>
  <si>
    <t>هزینه حسابرسی</t>
  </si>
  <si>
    <t xml:space="preserve">هزینه ها مربوط به کارشناسی تسهیلات </t>
  </si>
  <si>
    <t>جرایم دیرکرد</t>
  </si>
  <si>
    <t>Ok</t>
  </si>
  <si>
    <t>طبق استاندارد هزینه ها اقلام سود وزیانی را می توان</t>
  </si>
  <si>
    <t>هم براساس ماهیت- هم بر اساس کارکرد</t>
  </si>
  <si>
    <t>هزینه حقوق دستمزد</t>
  </si>
  <si>
    <t>هزینه اجاره</t>
  </si>
  <si>
    <t>هزینه مواد</t>
  </si>
  <si>
    <t>اما برای همه حسابداران- صورت های مالی نمونه ملاک قرار دهیم .</t>
  </si>
  <si>
    <t>اقلامی هستند که قبلا بوده اند- الانم هستند- آینده هم خواهند بود</t>
  </si>
  <si>
    <t>اقلام استثنایی در صورت های مالی</t>
  </si>
  <si>
    <t xml:space="preserve">اما در دوره خاصی یک دفعه نوسان خیلی زیادی داشته اند </t>
  </si>
  <si>
    <t>حتما مبحث اهمیت را در نظر میگیریم</t>
  </si>
  <si>
    <t>هزینه مطالبات مشکوک الوصول</t>
  </si>
  <si>
    <t>مبلغ</t>
  </si>
  <si>
    <t>هزینه های عمومی اداری وفروش</t>
  </si>
  <si>
    <t>هزینه م م و</t>
  </si>
  <si>
    <t>هزینه آب وبرق</t>
  </si>
  <si>
    <t>سال 1402</t>
  </si>
  <si>
    <t>سال 1403</t>
  </si>
  <si>
    <t>موارد که برای تامین مالی پرداخت شود بجز به سهامداران و جرایم مربوطه</t>
  </si>
  <si>
    <t>بهره بانکی</t>
  </si>
  <si>
    <t>اوراق مشارکت- در بورس</t>
  </si>
  <si>
    <t>هزینه سود اسمی- کامزد بازگردانی- کارمزد متعهد</t>
  </si>
  <si>
    <t>خرید دین</t>
  </si>
  <si>
    <t>هزینه های مربوط به اوراق خزانه اسلامی</t>
  </si>
  <si>
    <t>دولت برای اینکه پول ندارد عملا بدهی های خود را به عقب می ندازد</t>
  </si>
  <si>
    <t xml:space="preserve">اوراق خزانه اسلامی- اخزا به کسر می فروشد برای تسویه مطالبات پیمانکار </t>
  </si>
  <si>
    <t>تسهیلات</t>
  </si>
  <si>
    <t>وام</t>
  </si>
  <si>
    <t>اصل وام</t>
  </si>
  <si>
    <t>بهره</t>
  </si>
  <si>
    <t>فرع وام</t>
  </si>
  <si>
    <t>هزینه مالی</t>
  </si>
  <si>
    <t>طبقه جریان های نقد</t>
  </si>
  <si>
    <t>پیش پرداخت سنوات آتی</t>
  </si>
  <si>
    <t>تسهیلات دریافتی</t>
  </si>
  <si>
    <t>بهره سنوات آتی</t>
  </si>
  <si>
    <t>اصل پرداخت نشده</t>
  </si>
  <si>
    <t>برای تفکیک اصل  وفرع</t>
  </si>
  <si>
    <t>pmt</t>
  </si>
  <si>
    <t>PPMt</t>
  </si>
  <si>
    <t>IPMT</t>
  </si>
  <si>
    <t>مبلغ هر قسط</t>
  </si>
  <si>
    <t>اصل هر قسط</t>
  </si>
  <si>
    <t>فرع هر قسط</t>
  </si>
  <si>
    <t>rate</t>
  </si>
  <si>
    <t>per</t>
  </si>
  <si>
    <t>pv</t>
  </si>
  <si>
    <t>nper</t>
  </si>
  <si>
    <t>نرخ تامین مالی تقسیم بر تعداد اقساط در سال</t>
  </si>
  <si>
    <t>قسط چندم ؟</t>
  </si>
  <si>
    <t>منفی مبلغ اصل وام</t>
  </si>
  <si>
    <t>تعداد کل اقساط</t>
  </si>
  <si>
    <t>نرخ اسمی</t>
  </si>
  <si>
    <t>نرخی  که در متن قرارداد قیده شده است</t>
  </si>
  <si>
    <t>نرخ تامین مالی 23%</t>
  </si>
  <si>
    <t>نرخ تامین</t>
  </si>
  <si>
    <t>هزینه تامین مالی</t>
  </si>
  <si>
    <t>نرخ مسدودی</t>
  </si>
  <si>
    <t>مبلغ مسدودی</t>
  </si>
  <si>
    <t>خالص تسهیلات</t>
  </si>
  <si>
    <t>نرخ بهره موثر</t>
  </si>
  <si>
    <t>حصه جاری و بلند</t>
  </si>
  <si>
    <t>تا 12 قسط آتی</t>
  </si>
  <si>
    <t>جاری</t>
  </si>
  <si>
    <t>بعد از آن حصه بلند مدت</t>
  </si>
  <si>
    <t>غیر جاری</t>
  </si>
  <si>
    <t>وام بلند مدت- طبق قراردا شرایط را انجام نداده ایم-وام عند مطالبه</t>
  </si>
  <si>
    <t xml:space="preserve">طبق آخرین مصوب شورای عالی پول و اعتبار نرخ تامین مالی در بانک ها چند درصد است و نرخ سود پرداختی به مشتریان چند درصد </t>
  </si>
  <si>
    <t>نرخ بهره ترجیحی چیست ؟</t>
  </si>
  <si>
    <t>جلسه</t>
  </si>
  <si>
    <t>جلسه پنجم</t>
  </si>
  <si>
    <t>نرخ شکست در سپرده بانکی چیست؟</t>
  </si>
  <si>
    <t>مهلت ارایه اظهارنامه مالیات</t>
  </si>
  <si>
    <t>مهلت ارایه صورت های مالی حسابرسی شده</t>
  </si>
  <si>
    <t>مهلت رسیدگی</t>
  </si>
  <si>
    <t>31 تیر 1404</t>
  </si>
  <si>
    <t>assess</t>
  </si>
  <si>
    <t>گمرکی</t>
  </si>
  <si>
    <t>قضایی</t>
  </si>
  <si>
    <t>مالیاتی</t>
  </si>
  <si>
    <t>قالبی رسمی سهم سازمان امور مالیاتی از سود شرکت را به آن اعلام کرده ایم</t>
  </si>
  <si>
    <t>مهلت رسیدگی-تشخیص- قطعی- دادرسی مالیاتی</t>
  </si>
  <si>
    <t>سایر غیر عملیاتی</t>
  </si>
  <si>
    <t>سود قبل از مالیات</t>
  </si>
  <si>
    <t>سود خالص</t>
  </si>
  <si>
    <t>درامد مشمول مالیات ابرازی</t>
  </si>
  <si>
    <t>مالیات ابرازی</t>
  </si>
  <si>
    <t>سود زیان/ اظهارنامه مالیاتی</t>
  </si>
  <si>
    <t>رسیدگی- assess</t>
  </si>
  <si>
    <t>هزینه های قابل قبول مالیاتی</t>
  </si>
  <si>
    <t>going detach</t>
  </si>
  <si>
    <t>هزینه هایی که قابلیت کسر از درآمد های ما را دارند تا به عدد مشمول مالیات برسیم</t>
  </si>
  <si>
    <t>ماده 147 و ماده 148 ق م م</t>
  </si>
  <si>
    <t>سازمان مالیاتی رسیدگی</t>
  </si>
  <si>
    <t>مبتنی بر اصول/ قانون</t>
  </si>
  <si>
    <t>مبتنی بر وصول</t>
  </si>
  <si>
    <t>درآمد مشمول مالیات تشخیصی</t>
  </si>
  <si>
    <t>مالیات تشخیصی</t>
  </si>
  <si>
    <t>بودجه سال 1403</t>
  </si>
  <si>
    <t>تفکیک درآمدی</t>
  </si>
  <si>
    <t>فروش دارایی ها</t>
  </si>
  <si>
    <t>نفت</t>
  </si>
  <si>
    <t>دارایی های و...</t>
  </si>
  <si>
    <t>ناشی از ارایه خدمات</t>
  </si>
  <si>
    <t>ناشی از مالیات</t>
  </si>
  <si>
    <t>عملکرد</t>
  </si>
  <si>
    <t>تکلیفی</t>
  </si>
  <si>
    <t>کاربرگ گزارشگری مالیاتی</t>
  </si>
  <si>
    <t>چگونه از سود حسابداری به درآمد مشمول مالیات رسیده ایم</t>
  </si>
  <si>
    <t>سود حسابداری</t>
  </si>
  <si>
    <t>درآمد ها منهای هزینه ها- عددی که در صورت سود وزیان قبل از مالیات به آن می رسیم</t>
  </si>
  <si>
    <t>کسر می شود:</t>
  </si>
  <si>
    <t>درآمد ها معاف</t>
  </si>
  <si>
    <t>درامد هایی که طبق قانون مالیات های مستقیم معاف از پرداخت مالیات- مالیات با نرخ صفر دارند .</t>
  </si>
  <si>
    <t>درآمد های با نرخ مالیات مقطوع</t>
  </si>
  <si>
    <t>درآمد هایی که بدون توجه به میزان سود یا زیان واحد تجاری با نرخ های مشخصی و بر مبنای مشخصی مالیات ان مقطوع اخذ می شود</t>
  </si>
  <si>
    <t>اضافه می شود :</t>
  </si>
  <si>
    <t>هزینه های غیرقابل قبول</t>
  </si>
  <si>
    <t>هزینه های مربوط به درآمد های معاف و مقطوع</t>
  </si>
  <si>
    <t>درآمد مشمول مالیات</t>
  </si>
  <si>
    <t>مثال :</t>
  </si>
  <si>
    <t>سود حسابداری شرکت</t>
  </si>
  <si>
    <t>سود فروش سهام</t>
  </si>
  <si>
    <t>سود فروش ملک</t>
  </si>
  <si>
    <t>سود فروش سمند</t>
  </si>
  <si>
    <t>سود تسعیر ارز</t>
  </si>
  <si>
    <t>معاف/ مقطوع</t>
  </si>
  <si>
    <t>مقطوع</t>
  </si>
  <si>
    <t>کاربرگ گزارشگری مالیات</t>
  </si>
  <si>
    <t>جمع تعدیلات</t>
  </si>
  <si>
    <t>سود ابرازی</t>
  </si>
  <si>
    <t>درآمد مشمول مالیات ابرازی</t>
  </si>
  <si>
    <t>سود دوره</t>
  </si>
  <si>
    <t>سود انباشته ابتدای دوره</t>
  </si>
  <si>
    <t>تعدیلات سنواتی</t>
  </si>
  <si>
    <t>سود انباشته ابتدای دوره تعدیل شده</t>
  </si>
  <si>
    <t>سود قابل تخصیص</t>
  </si>
  <si>
    <t>اندوخته قانونی</t>
  </si>
  <si>
    <t>سود سهام مصوب</t>
  </si>
  <si>
    <t>افزایش سرمایه</t>
  </si>
  <si>
    <t>سود انباشته انتهای دوره</t>
  </si>
  <si>
    <t>سود انباشته- صورت وضعیت مالی</t>
  </si>
  <si>
    <t>سود هر سهم</t>
  </si>
  <si>
    <t>eps</t>
  </si>
  <si>
    <t>سود خالص تقسیم بر میانگین موزون تعداد سهام</t>
  </si>
  <si>
    <t>طبق استاندارد سود هر سهم</t>
  </si>
  <si>
    <t>سود هر سهم را به تفکیک عملیاتی و غیر عملیاتی</t>
  </si>
  <si>
    <t>ساختار حقوق مالکانه پیچیده</t>
  </si>
  <si>
    <t>ساختار حقوق مالکانه ساده</t>
  </si>
  <si>
    <t>اوراقی  داریم قابل به سهام</t>
  </si>
  <si>
    <t>در نهایت جمع عملیاتی و غیر عملیاتی باید با سود هر سهم کل برابر باشد</t>
  </si>
  <si>
    <t>سود هر سهم کل</t>
  </si>
  <si>
    <t>قبل از مالیات</t>
  </si>
  <si>
    <t>اثر مالیات</t>
  </si>
  <si>
    <t>خاصل</t>
  </si>
  <si>
    <t>کدام شرکت ها باید رعایت کنند ؟</t>
  </si>
  <si>
    <t>شرکت هایی که سهام آنها عرضه به عموم شده است- اما اگر شرکتی داوطلبانه خواست انجام دهد- باید تمام استاندارد را رعایت کند</t>
  </si>
  <si>
    <t>میانگین موزون تعداد سهام</t>
  </si>
  <si>
    <t>سهام ابتدا و انتهای دوره بدوون تغییر بوده است- عملا محاسبه میانگین موزون بی معنی است</t>
  </si>
  <si>
    <t>اما اگر طی دوره تغییرات در سرمایه داریم باید باتوجه به نوع تغییر میانگین موزون حساب کنیم</t>
  </si>
  <si>
    <t>سود کل شرکت</t>
  </si>
  <si>
    <t>تعداد در ابتدای دوره</t>
  </si>
  <si>
    <t>تعداد</t>
  </si>
  <si>
    <t>تعداد در سهم در انتها</t>
  </si>
  <si>
    <t>افزایش سرمایه- 1 مهر</t>
  </si>
  <si>
    <t>ماه موثر</t>
  </si>
  <si>
    <t xml:space="preserve">میانگین موزون </t>
  </si>
  <si>
    <t>2 نوع تغییر در سرمایه داریم</t>
  </si>
  <si>
    <t>واقعی</t>
  </si>
  <si>
    <t>غیر واقعی</t>
  </si>
  <si>
    <t>اگر قبل و بعد از افزایش سرمایه جمع حقوق مالکانه تغییر کند</t>
  </si>
  <si>
    <t>اگر قبل و بعد از افزایش سرمایه جمع حقوق مالکانه تغییر نکند</t>
  </si>
  <si>
    <t>مثال افزایش سرمایه واقعی</t>
  </si>
  <si>
    <t xml:space="preserve">سرمایه </t>
  </si>
  <si>
    <t>سود انباشته</t>
  </si>
  <si>
    <t>جمع</t>
  </si>
  <si>
    <t>قبل از افزایش سرمایه</t>
  </si>
  <si>
    <t>بعد از افزایش سرمایه</t>
  </si>
  <si>
    <t>نقد- مطالبات حال شده سهامداران</t>
  </si>
  <si>
    <t>مثال افزایش سرمایه غیر واقعی</t>
  </si>
  <si>
    <t>در افزایش سرمایه واقعی بر اساس ماهی که افزایش اجرایی شده باید مبنای محاسبه میانگین موزون را داشته باشیم</t>
  </si>
  <si>
    <t>برای افزایش غیر واقعی فرض می کنیم از ابتدا بوده است</t>
  </si>
  <si>
    <t>تمرین: در افزایش سرمایه از محل نقد</t>
  </si>
  <si>
    <t>کدام تاریخ است ؟</t>
  </si>
  <si>
    <t>مجمع افزایش سرمایه را تصوب کرده است</t>
  </si>
  <si>
    <t>تاریخ گزارش توجیهی</t>
  </si>
  <si>
    <t>تاریخ گزارش حسابرسی مستقل بابت گزارش توجیهی</t>
  </si>
  <si>
    <t>تاریخ ثبت افزایش سرمایه در اداره ثبت شرکت ها</t>
  </si>
  <si>
    <t>ملاک محاسبه میانگین موزون تعداد سهام</t>
  </si>
  <si>
    <t>تمرین : برای صورت مالی خودمان سود هر سهم به تفکیک عملیاتی و غیر عملیاتی را حساب کنید-</t>
  </si>
  <si>
    <t>ارزش اسمی هر سهم 1000 ریال</t>
  </si>
  <si>
    <t>جلسه ششم</t>
  </si>
  <si>
    <t>سود و زیان-</t>
  </si>
  <si>
    <t>کاربرگ گزارشگری مالیاتی- هزینه مالیات</t>
  </si>
  <si>
    <t xml:space="preserve">سود هر سهم </t>
  </si>
  <si>
    <t>دارایی های جاری</t>
  </si>
  <si>
    <t>به ترتیب نقد شوندگی</t>
  </si>
  <si>
    <t>دارایی های غیر جاری</t>
  </si>
  <si>
    <t>بدهی ها</t>
  </si>
  <si>
    <t>بدهی های جاری</t>
  </si>
  <si>
    <t>بدهی های بلند مدت</t>
  </si>
  <si>
    <t>منابع مالی</t>
  </si>
  <si>
    <t>مصارف</t>
  </si>
  <si>
    <t>ارایه اطلاعات مفید درباره منابع اقتصادی واحد تجاری و ادعای بر آنها</t>
  </si>
  <si>
    <t>منابع اقتصادی- دارای منافع آتی هستند- تحت کنترل و ناشی از رویداد های گذشته</t>
  </si>
  <si>
    <t>ادعای بر منابع اقتصادی</t>
  </si>
  <si>
    <t>بعد از تغییرات استاندارد حسابداری شماره</t>
  </si>
  <si>
    <t>فرم صورت وضعیت مالی به شکل گزارشی</t>
  </si>
  <si>
    <t>بدهی های بلند</t>
  </si>
  <si>
    <t>جمع بدهی های و حقوق مالکانه</t>
  </si>
  <si>
    <t>رویکرد قبلی رویکرد نقد شوندگی بود</t>
  </si>
  <si>
    <t>رویکرد فعلی رویداد پایداری- ماندگاری</t>
  </si>
  <si>
    <t>در حالت عادی صورت وضعیت مالی 2 ستون ارایه می شود</t>
  </si>
  <si>
    <t>در حالت خاصی صورت وضعیت مالی باید 3 ستونه ارایه شود</t>
  </si>
  <si>
    <t>1402/01/01</t>
  </si>
  <si>
    <t>در زمانی اصلاح اشتباه تغییر در رویه یا تغییر در طبقه بندی باشد که اثر ان به بیش از یک سال قبل برگردد</t>
  </si>
  <si>
    <t>چرا 3 ستون ؟ یا 10 ستون ارایه ندهیم ؟</t>
  </si>
  <si>
    <t>در یک تاریخ مشخص است</t>
  </si>
  <si>
    <t>در تاریخ 29 اسفند 1402</t>
  </si>
  <si>
    <t>به تاریخ 29 اسفند 1402</t>
  </si>
  <si>
    <t>دارایی های ثابت مشهود</t>
  </si>
  <si>
    <t>fixed assets</t>
  </si>
  <si>
    <t>استاندارد حسابداری شماره 11</t>
  </si>
  <si>
    <t>شناخت اولیه</t>
  </si>
  <si>
    <t>اولین باری که یک قلم قرار است در دفاتر واحد تجاری ثبت</t>
  </si>
  <si>
    <t>تجدید شناخت</t>
  </si>
  <si>
    <t>در زمان تهیه صورت های،آیا طبق استاندارد باید اصلاحی انجام دهیم</t>
  </si>
  <si>
    <t>طبق استاندارد</t>
  </si>
  <si>
    <t>قطع شناخت</t>
  </si>
  <si>
    <t>زمانی که آن قلم به هر دلیلی قرار است از دفاتر ما حذف شود</t>
  </si>
  <si>
    <t>همواره به ارزش دفتری</t>
  </si>
  <si>
    <t>تمامی مواردی که در روال عادی عملیات بابت تحمل شود تا دارایی به دست ما برسد و آماده استفاده شود</t>
  </si>
  <si>
    <t>بهای دارایی-حقوق و عوارض گمرکی- هزینه های حمل هر گونه مالیات و عوارض غیر قابل استرداد</t>
  </si>
  <si>
    <t>مثال :شرکت در تاریخ 15 فروردین ماه 1402 یک دستگاه سمند را از ایران خودرو با فاکتور زیر خریداری می کند</t>
  </si>
  <si>
    <t>بهای سمند</t>
  </si>
  <si>
    <t>مبالغ ریال</t>
  </si>
  <si>
    <t>هزینه تعویض پلاک</t>
  </si>
  <si>
    <t>بیمه شخص ثالث</t>
  </si>
  <si>
    <t>عوارض تبصره 13</t>
  </si>
  <si>
    <t>ارزش افزوده</t>
  </si>
  <si>
    <t>مبلغ کل</t>
  </si>
  <si>
    <t>مبلغ چک</t>
  </si>
  <si>
    <t>بهای تمام</t>
  </si>
  <si>
    <t>وسایط نقلیه</t>
  </si>
  <si>
    <t>ارزش افزوده دریافتنی</t>
  </si>
  <si>
    <t>هزینه بیمه</t>
  </si>
  <si>
    <t>اسناد پرداختنی</t>
  </si>
  <si>
    <t>سند حسابداری- 15 فروردین 1402</t>
  </si>
  <si>
    <t>در تاریخ 1402/12/29</t>
  </si>
  <si>
    <t>برای سمند استهلاک حساب کنیم</t>
  </si>
  <si>
    <t>مستقیم</t>
  </si>
  <si>
    <t>نزولی</t>
  </si>
  <si>
    <t>بهای تمام شده تقسیم بر عمر مفید</t>
  </si>
  <si>
    <t>ارزش دفتری ضربدر نرخ استهلاک</t>
  </si>
  <si>
    <t>ارزش دفتری برابر است با بهای تمام شده منهای استهلاک انباشته</t>
  </si>
  <si>
    <t>در ایران مبنا محاسبه استهلاک را جدول استهلاکات موضوع ماده 149 قانون مالیات های مستقیم قرار می دهیم.</t>
  </si>
  <si>
    <t>روش</t>
  </si>
  <si>
    <t>عمر مفید</t>
  </si>
  <si>
    <t>فرمول روش مستقیم</t>
  </si>
  <si>
    <t>استهلاک یک سال مالی</t>
  </si>
  <si>
    <t>در سال 12 ماه دارایی استفاده شده عدد بالا در غیر این صورت عدد بالا تقسیم بر 12 ضربدر تعدادی ماه دارایی مورد استفاده شده است</t>
  </si>
  <si>
    <t>نکته : اگر دارایی در طی ماه خریداری شود یا مورد استفاده قرار گیرد استهلاک ان از ابتدای ماه بعد حساب می شود</t>
  </si>
  <si>
    <t>استهلاک 11 ماهه</t>
  </si>
  <si>
    <t>سند حسابداری-29 اسفند 1402</t>
  </si>
  <si>
    <t>استهلاک انباشته</t>
  </si>
  <si>
    <t>یادداشت دارایی ثابت</t>
  </si>
  <si>
    <t>مانده ابتدای دوره</t>
  </si>
  <si>
    <t>خرید طی دوره</t>
  </si>
  <si>
    <t>فروش طی دوره</t>
  </si>
  <si>
    <t>تعدیلات</t>
  </si>
  <si>
    <t>مانده انتهای دوره</t>
  </si>
  <si>
    <t>استهلاک</t>
  </si>
  <si>
    <t>مانده ابتدای دوره استهلاک</t>
  </si>
  <si>
    <t>استهلاک دوره</t>
  </si>
  <si>
    <t>استهلاک دارایی فروش رفته</t>
  </si>
  <si>
    <t>ارزش دفتری انتهای دوره</t>
  </si>
  <si>
    <t>ارزش دفتری ابتدای دوره</t>
  </si>
  <si>
    <t>فرض کنیم سمند را در روز 1 فروردین 1403 در سایت دیوار به قیمت 180 میلیون تومان فروختیم- هزینه های نقل و انتقال با خریدار -عملا در دریافت 180 میلیون تومان سمند را تحویل دادیم</t>
  </si>
  <si>
    <t>مبلغ فروش ناخالص</t>
  </si>
  <si>
    <t>فروش خالص</t>
  </si>
  <si>
    <t>کل مبلغ با ارزش افزوده</t>
  </si>
  <si>
    <t>ارزش افزوده پرداختنی</t>
  </si>
  <si>
    <t>زیان فروش دارایی ثابت</t>
  </si>
  <si>
    <t>تجدید شناخت دارایی های ثابت</t>
  </si>
  <si>
    <t>یا</t>
  </si>
  <si>
    <t>تجدید ارزیابی</t>
  </si>
  <si>
    <t>کارشناس رسمی دادگستری</t>
  </si>
  <si>
    <t>دوره تناوب هم هر 3 یا 5 سال</t>
  </si>
  <si>
    <t xml:space="preserve">بعد از استهلاک و هرگونه کاهش ارزش </t>
  </si>
  <si>
    <t>هر کدام انتخاب شد- بعدش ثبات رویه داشته باشیم</t>
  </si>
  <si>
    <t>قطع شناخت دارایی ها ثابت به ارزش دفتری- بهای تمام شده - استهلاک انباشته- کاهش ارزش- مازاد تجدید ارزیابی- پیش پرداخت بیمه و......</t>
  </si>
  <si>
    <t>افشا</t>
  </si>
  <si>
    <t>در خصوص اضافات دارایی های ثابت طی دوره</t>
  </si>
  <si>
    <t>در خصوص کاهش در دارایی ثابت</t>
  </si>
  <si>
    <t>کفایت پوشش بیمه ایی دارایی های ثابت بحث</t>
  </si>
  <si>
    <t>پوشش بیمه ایی</t>
  </si>
  <si>
    <t>خالص ارزش فروش</t>
  </si>
  <si>
    <t>ارزش جایگزینی</t>
  </si>
  <si>
    <t>فروش منهای هزینه های فروش- عملا شرکت را بعنوان یک فروشنده می بینید</t>
  </si>
  <si>
    <t>اگر بخواهم یه دارایی مشابه بخرم باید چقدر بها پرداخت کنم- شرکت را بعنوان خریدار می بینیم</t>
  </si>
  <si>
    <t>اما در مواردی مثل وسایط نقلیه ارزش جایگزینی یه عدد است- قیمت کار بیمه مبلغ دیگری است</t>
  </si>
  <si>
    <t>سمند</t>
  </si>
  <si>
    <t>مامور</t>
  </si>
  <si>
    <t>پوشش ها بیمه ای شناور</t>
  </si>
  <si>
    <t>مبلغ خسارت پذیر</t>
  </si>
  <si>
    <t>جمع دارایی ثابت</t>
  </si>
  <si>
    <t>زمین</t>
  </si>
  <si>
    <t>آپارتمان</t>
  </si>
  <si>
    <t>عرصه</t>
  </si>
  <si>
    <t>عیان</t>
  </si>
  <si>
    <t>سهم از زمین</t>
  </si>
  <si>
    <t>بنا</t>
  </si>
  <si>
    <t>تعهد در قبال همسایه ها</t>
  </si>
  <si>
    <t>پوشش بیمه در قبال دیگران</t>
  </si>
  <si>
    <t>تمرین:</t>
  </si>
  <si>
    <t>دارایی های ثابت اگر دارای پوشش بیمه ایی کامل نباشد- حسابرس این موضوع را چگونه در گزارش خود درج می کند ؟</t>
  </si>
  <si>
    <t>اگر حسابرس ما بازرس قانونی نباشد آیا باید این موضوع را در گزارش خود قید کند ؟</t>
  </si>
  <si>
    <t>جلسه هفتم</t>
  </si>
  <si>
    <t>ملاک طبقه بندی دارایی ها به جاری و غیر جاری</t>
  </si>
  <si>
    <t>ماهیت نقد یا ماهیت عملیاتی</t>
  </si>
  <si>
    <t>مابقی اقلام در صورتی در یک سال مالی یک چرخه عملیاتی هر کدام طولانی تر است به نقد تبدیل شود- فروش رود- مصرف شود یا با دارایی که نقدشوندگی بالاتری دارد تعویض شود</t>
  </si>
  <si>
    <t>موجودی مواد</t>
  </si>
  <si>
    <t>تولید</t>
  </si>
  <si>
    <t>حساب دریافتنی</t>
  </si>
  <si>
    <t>بانک بیمه</t>
  </si>
  <si>
    <t>دوره گردش موجودی کالا</t>
  </si>
  <si>
    <t>دوره گردش حساب های دریافتنی</t>
  </si>
  <si>
    <t>چرخه عملیات</t>
  </si>
  <si>
    <t>دوره گردش حساب های پرداختنی</t>
  </si>
  <si>
    <t>دوره گردش نقد</t>
  </si>
  <si>
    <t>سرمایه گذاری</t>
  </si>
  <si>
    <t>مواردی که به قصد کسب فایده از نوسانات قیمت - سود سپرده سود تضمین شده و یا اعمال سیاست های سرمایه گذاری تحصیل می شوند</t>
  </si>
  <si>
    <t>اوراق بهادار</t>
  </si>
  <si>
    <t>سهام</t>
  </si>
  <si>
    <t>اختیار معامله</t>
  </si>
  <si>
    <t>فیوچر</t>
  </si>
  <si>
    <t>گواهی سپرده</t>
  </si>
  <si>
    <t>اوراق بدهی</t>
  </si>
  <si>
    <t>سپرده های بانکی</t>
  </si>
  <si>
    <t>بلند مدت</t>
  </si>
  <si>
    <t>کوتاه مدت</t>
  </si>
  <si>
    <t>سرمایه گذاری کوتاه مدت- جاری</t>
  </si>
  <si>
    <t>که هدف مدیریت از نگهداری این موارد کسب نوسانات کوتاه مدت از قیمت بازار</t>
  </si>
  <si>
    <t>سرمایه گذاری های بلند مدت- غیر جاری</t>
  </si>
  <si>
    <t>هدف مدیریت اعمال سیاست های سرمایه گذاری- کنترل -نفوذ- بازار تامین- فروش و....</t>
  </si>
  <si>
    <t>دوره نگهداری</t>
  </si>
  <si>
    <t>ا زدید بازار</t>
  </si>
  <si>
    <t>سریع المعامله در بازار</t>
  </si>
  <si>
    <t>سایر سرمایه گذاری</t>
  </si>
  <si>
    <t>که برای انها بازار فعالی وجود دارد- قابلیت معامله هست و قیمت ها قابل اتکا هستند .</t>
  </si>
  <si>
    <t>بورس/ فرابورس</t>
  </si>
  <si>
    <t xml:space="preserve">موارد که سریع المعامله نباشند </t>
  </si>
  <si>
    <t>طبقه بندی</t>
  </si>
  <si>
    <t>سایر اوراق بهادار</t>
  </si>
  <si>
    <t>مشتقه</t>
  </si>
  <si>
    <t>اختیار معامله/ فیوچر ها</t>
  </si>
  <si>
    <t>همواره به بهای تمام شده</t>
  </si>
  <si>
    <t>بهای تمام شده: تمامی مواردی که در ورال عادی عملیات باید تحمل شود تا سرمایه گذاری به ما برسد</t>
  </si>
  <si>
    <t>بهای سهام- کارشناسی- هزینه های معاملات</t>
  </si>
  <si>
    <t>در تاریخ 10 دی ماه 1402</t>
  </si>
  <si>
    <t>سهام شستا</t>
  </si>
  <si>
    <t>قیمت</t>
  </si>
  <si>
    <t>مبلغ معامله</t>
  </si>
  <si>
    <t>هزینه کارمزد کارگزاری</t>
  </si>
  <si>
    <t>سرمایه گذاری در شستا</t>
  </si>
  <si>
    <t>در تاریخ 15 دی ماه 1402 سهام شستا را به قمیت هر سهم 1450 تعداد 2 میلیون برگه</t>
  </si>
  <si>
    <t>مبلغ کارمزد معامله مثل قبلی اما چون پول نداشتیم از کارگزاری اعتباری با نرخ 24 % سالانه یک ماهه تسویه کرده ایم</t>
  </si>
  <si>
    <t>در تاریخ 15 دی ماه 1402</t>
  </si>
  <si>
    <t>هزینه بهره</t>
  </si>
  <si>
    <t>کارگزاری</t>
  </si>
  <si>
    <t>در تاریخ 20 دی ماه 1402 تعداد 1500000 از سهام شستا را به قیمت 1500 فروختیم-</t>
  </si>
  <si>
    <t>هزینه های معامله شامل نیم درصد مالیات نیم درصد کارمزد</t>
  </si>
  <si>
    <t>ردیف</t>
  </si>
  <si>
    <t>تاریخ</t>
  </si>
  <si>
    <t>خرید/ وارده</t>
  </si>
  <si>
    <t>فروش/ صادره</t>
  </si>
  <si>
    <t>مانده</t>
  </si>
  <si>
    <t>1402/10/15</t>
  </si>
  <si>
    <t>1402/10/20</t>
  </si>
  <si>
    <t>1402/10/12</t>
  </si>
  <si>
    <t>خرید شستا</t>
  </si>
  <si>
    <t>فروش شستا</t>
  </si>
  <si>
    <t>سود فروش سرمایه گذاری</t>
  </si>
  <si>
    <t>تاریخ 21 دی ماه 1402 شرکت شستا 100 درصد افزایش سرمایه از محل سود انباشته</t>
  </si>
  <si>
    <t>افزایش سرمایه های غیر واقعی ثبت ندارند</t>
  </si>
  <si>
    <t>تعداد سهام 2 برابر می شود- فی سهام نصف می شود</t>
  </si>
  <si>
    <t>1402/10/21</t>
  </si>
  <si>
    <t>برای همین مثال فرض کنید افزایش سرمایه از محل نقد باشد- بهای تمام شده هر تقدم را حساب کنید</t>
  </si>
  <si>
    <t>ثبت های حسابداری مربوط به اختیار معامله/</t>
  </si>
  <si>
    <t>تجدید شناخت سرمایه گذاری ها</t>
  </si>
  <si>
    <t>سایر سرمایه گذاری ها</t>
  </si>
  <si>
    <t>ارزش بازار</t>
  </si>
  <si>
    <t>اقل بهای تمام شده و خالص ارزش فروش پرتفوی</t>
  </si>
  <si>
    <t>هر کدام انتخاب شد- ثبات رویه</t>
  </si>
  <si>
    <t xml:space="preserve">اقل بهای تمام شده و خالص ارزش فروش  </t>
  </si>
  <si>
    <t>سریع المعامله در بازار
یا
سایر سرمایه گذاری</t>
  </si>
  <si>
    <t>بهای تمام شده
یا
تجدید ارزیابی</t>
  </si>
  <si>
    <t>دوره تناوب تجدید ارزیابی در سرمایه گذاری سالانه</t>
  </si>
  <si>
    <t>تمرین از از محل مازاد تجدید ارزیابی- سرمایه گذاری- دارایی ثابت اگر افزایش سرمایه بدهیم آیا مشمول مالیات یا خیر ؟ و آیا شرایطی دارد ؟</t>
  </si>
  <si>
    <t>مثال</t>
  </si>
  <si>
    <t>الف</t>
  </si>
  <si>
    <t>ب</t>
  </si>
  <si>
    <t>ج</t>
  </si>
  <si>
    <t>د</t>
  </si>
  <si>
    <t>سریع معامله در بازار -روش ارزش بازار</t>
  </si>
  <si>
    <t>سود/ زیان نگهداشت</t>
  </si>
  <si>
    <t>سود ناشی از نگهداشت</t>
  </si>
  <si>
    <t>سود وزیان ارایه می شود</t>
  </si>
  <si>
    <t>سریع معامله در بازار -اقل بهای تمام شده و ارزش بازار پرتفوی</t>
  </si>
  <si>
    <t xml:space="preserve">زیان کاهش ارزش سرمایه گذاری </t>
  </si>
  <si>
    <t>کاهش ارزش انباشته سرمایه گذاری</t>
  </si>
  <si>
    <t>برگشت زیان</t>
  </si>
  <si>
    <t>ارزش اسمی</t>
  </si>
  <si>
    <t>مبلغی که بر روی برگ سهام درج شده است- سهام ها 1000 ریالی</t>
  </si>
  <si>
    <t>مبلغی که ما خریداری کرده ایم</t>
  </si>
  <si>
    <t>مبلغ بهای تمام منهای هرگونه کاهش ارزش و.....</t>
  </si>
  <si>
    <t>قیمت پایانی سهام</t>
  </si>
  <si>
    <t>ارزش بازار یک برگه</t>
  </si>
  <si>
    <t>ارزش بازار منهای هزینه های فروش- کارمزد های ارکان- مالیات</t>
  </si>
  <si>
    <t>ارزش ذاتی</t>
  </si>
  <si>
    <t>مبلغی که برگ سهام واقعا می ارزد- با روش های ارزش گذاری سهام</t>
  </si>
  <si>
    <t>طلا</t>
  </si>
  <si>
    <t>انس جهانی</t>
  </si>
  <si>
    <t>قیمت یک گرم طلای 24 عیار</t>
  </si>
  <si>
    <t>قیمت یک گرم طلای 18 عیار</t>
  </si>
  <si>
    <t>قیمت دلار</t>
  </si>
  <si>
    <t>قیمت ریالی یک گرم طلای 18 عیار</t>
  </si>
  <si>
    <t>ذاتی</t>
  </si>
  <si>
    <t>قیمت بازار</t>
  </si>
  <si>
    <t>قیمت سکه</t>
  </si>
  <si>
    <t>تمام</t>
  </si>
  <si>
    <t>ریالی سکه</t>
  </si>
  <si>
    <t>حساب ها و اسناد  دریافتنی</t>
  </si>
  <si>
    <t>تجاری</t>
  </si>
  <si>
    <t>سایر</t>
  </si>
  <si>
    <t>ناشی از فعالیت عملیاتی- اصلی و مستمر</t>
  </si>
  <si>
    <t>طلب بابت سایر موارد- وام پرسنل- مساعده و.....</t>
  </si>
  <si>
    <t>کاهش ارزش</t>
  </si>
  <si>
    <t>ذخیره مطالبات مشکوک الوصول</t>
  </si>
  <si>
    <t>شرکتی در تاریخ 10 دی ماه 1402 تعداد 20 هزار دلار خریداری کرد</t>
  </si>
  <si>
    <t>در همان روز 10 هزارتا را به ترکیه برای خرید دارایی ثابت حواله کرد.</t>
  </si>
  <si>
    <t>3 هزار تا را به یک از پرسنل  وام ارزی داد</t>
  </si>
  <si>
    <t>مابقی در صندوق شرکت</t>
  </si>
  <si>
    <t>نقد ارزی</t>
  </si>
  <si>
    <t>وام دریافتنی ارزی</t>
  </si>
  <si>
    <t>پیش پرداخت دارایی ثابت ارزی</t>
  </si>
  <si>
    <t>تجدید شناخت اقلام ارزی</t>
  </si>
  <si>
    <t>اقلام پولی</t>
  </si>
  <si>
    <t>اقلام غیر پولی</t>
  </si>
  <si>
    <t>اقلامی که تسویه آنها با مبلغ مشخصی پول است- ح دریافتنی- ح پرداختنی- وام و....</t>
  </si>
  <si>
    <t>اقلامی که تسویه انها با دریافت یا ارایه کالا و یا خدمت می باشد</t>
  </si>
  <si>
    <t>بر اساس نرخ ارز در دسترس به تاریخ پایان سال تسعیر کنید- نیمایی/ آزاد- توافقی با منشا داخلی- منشا خارجی</t>
  </si>
  <si>
    <t>نیاز به تسعیر در زمان صورت های مالی   ندارد</t>
  </si>
  <si>
    <t>معال ریال روز اول</t>
  </si>
  <si>
    <t>تعداد ارز</t>
  </si>
  <si>
    <t>نوع قلم</t>
  </si>
  <si>
    <t>پولی</t>
  </si>
  <si>
    <t>غیر پولی</t>
  </si>
  <si>
    <t>تسعیرشده</t>
  </si>
  <si>
    <t>سود تسعیر</t>
  </si>
  <si>
    <t>جلسه هشتم</t>
  </si>
  <si>
    <t>تحویل جنس</t>
  </si>
  <si>
    <t>الان</t>
  </si>
  <si>
    <t>پرداخت وجه</t>
  </si>
  <si>
    <t>پیش پرداخت</t>
  </si>
  <si>
    <t>بعدا</t>
  </si>
  <si>
    <t>موجودی کالا استاندارد حسابداری شماره8</t>
  </si>
  <si>
    <t>خریداری می شوند به قصد فروش</t>
  </si>
  <si>
    <t>بازرگانی</t>
  </si>
  <si>
    <t>خریداری می شوند به قصد  استفاده در تولید</t>
  </si>
  <si>
    <t>مواد اولیه</t>
  </si>
  <si>
    <t>خریداری برای مصرف در عملیات</t>
  </si>
  <si>
    <t>ملزومات</t>
  </si>
  <si>
    <t>سایر موجودی ها</t>
  </si>
  <si>
    <t>به بهای تمام شده</t>
  </si>
  <si>
    <t>اصلی - جایگزین</t>
  </si>
  <si>
    <t>به ارزش دفتری</t>
  </si>
  <si>
    <t>بهای تمام: تمامی مواردی که در روال عادی عملیات باید تحمل شود تا موجود کالا بدست ما برسد</t>
  </si>
  <si>
    <t>بازرگانی- مبلغ- هزینه های حمل- گمرکی و ......</t>
  </si>
  <si>
    <t>ساخته شده: سهم مناسبی از مواد مستقیم  دستمزد مستقیم وسربار ساخت</t>
  </si>
  <si>
    <t>موبایل</t>
  </si>
  <si>
    <t>اینویس</t>
  </si>
  <si>
    <t>دلار</t>
  </si>
  <si>
    <t>پول داده ام برای خرید</t>
  </si>
  <si>
    <t>گمرگ اظهارنامه می خواهم می دهم- قیمت هر گوشی 850 دلار است - نرخ ارز نیمایی  800000 ریال مبنای محاسبه حقوق و عوارض گمرکی</t>
  </si>
  <si>
    <t xml:space="preserve">فاکتور واقعی </t>
  </si>
  <si>
    <t>حقوق عوارض گمرکی</t>
  </si>
  <si>
    <t>مبلغی پرداخت شده توسط شرکت</t>
  </si>
  <si>
    <t xml:space="preserve">ممیز </t>
  </si>
  <si>
    <t>فاکتور</t>
  </si>
  <si>
    <t>هزینه واهی- غیر قابل قبول</t>
  </si>
  <si>
    <t xml:space="preserve">خرید </t>
  </si>
  <si>
    <t>هزیبنه حمل</t>
  </si>
  <si>
    <t>هزینه فروش</t>
  </si>
  <si>
    <t>سیستم نگهداری اطلاعات</t>
  </si>
  <si>
    <t>روش ارزشگذاری</t>
  </si>
  <si>
    <t>دایمی - ادواری</t>
  </si>
  <si>
    <t>موجودی ابتدای دوره</t>
  </si>
  <si>
    <t>آماده برای فروش</t>
  </si>
  <si>
    <t>بهای تمام کالای فروش رفته</t>
  </si>
  <si>
    <t>موجودی پایان دوره</t>
  </si>
  <si>
    <t>موجودی واقعی انبار گردانی</t>
  </si>
  <si>
    <t>کسر یا اضافه انبار</t>
  </si>
  <si>
    <t>دایمی</t>
  </si>
  <si>
    <t>ادواری</t>
  </si>
  <si>
    <t>موجودی کالای پایان دوره</t>
  </si>
  <si>
    <t>فایفو</t>
  </si>
  <si>
    <t>میانگین موزون</t>
  </si>
  <si>
    <t>ساده</t>
  </si>
  <si>
    <t>ادورای</t>
  </si>
  <si>
    <t>متحرک</t>
  </si>
  <si>
    <t>شناسایی ویژه</t>
  </si>
  <si>
    <t>nifo</t>
  </si>
  <si>
    <t>dvlifo</t>
  </si>
  <si>
    <t>بهای کل خرید</t>
  </si>
  <si>
    <t>بهای تمام شده فروش رفته</t>
  </si>
  <si>
    <t>تجدید شناخت موجودی کالا</t>
  </si>
  <si>
    <t>اقل بهای تمام شده و خالص ارزش فروش</t>
  </si>
  <si>
    <t>کل موجودی ها</t>
  </si>
  <si>
    <t>گروه های مشابه</t>
  </si>
  <si>
    <t>تک تک اقلام</t>
  </si>
  <si>
    <t>مجاز نیست</t>
  </si>
  <si>
    <t>فروش منهای</t>
  </si>
  <si>
    <t>هزینه های تکمیل</t>
  </si>
  <si>
    <t>هزینه های فروش</t>
  </si>
  <si>
    <t>واحد حسابداری صنعتی- معادل آحاد تکمیل شده</t>
  </si>
  <si>
    <t>واحد فروش طبق سوابق گذشته</t>
  </si>
  <si>
    <t>جایگزین</t>
  </si>
  <si>
    <t>اقل بهای تمام شده و ارزش جایگزینی</t>
  </si>
  <si>
    <t xml:space="preserve">پوشش بیمه ایی موجودی کالا </t>
  </si>
  <si>
    <t>کالای های ما نزد دیگران هستند باید افشا شوند</t>
  </si>
  <si>
    <t>برای تولید قطعات موجودی برای انبار پیمانکار ارسال می کنیم</t>
  </si>
  <si>
    <t>انبار های عمومی - کالای ساخته</t>
  </si>
  <si>
    <t>سپرده بانکی که مسدود - اگر این مسدویدی زیر یک سال برطرف شود نیازی به تغییر کدینگ نیست</t>
  </si>
  <si>
    <t>فقط افشا</t>
  </si>
  <si>
    <t>اما اگر بیش از یک سال بود باید تغییر طبقه دهیم در سایر دارایی ها</t>
  </si>
  <si>
    <t>دارایی غیر جاری نگهداری شده برای فروش</t>
  </si>
  <si>
    <t>دارایی های غیر جاری بوده اند که قصد مدیریت از نگهداری استفاده به فروش تغییر یافته است</t>
  </si>
  <si>
    <t>اگر شرایط زیر باشد باید ازطبقه خودش جدا شده- مستهلک نمی شود و به طبقه جداکانه ایی در صورت های مالی بعد دارایی های جاری منتقل می شود اگر از بابت این دارایی ها</t>
  </si>
  <si>
    <t>بدهی های مربوطی هم باشد در سمت بدهی ها بعد از بدهی های جاری به همین اسم افشا می شود</t>
  </si>
  <si>
    <t>شرایط دارایی غیر جاری نگهداری شده برای فروش</t>
  </si>
  <si>
    <t>دارایی برای فروش آماده باشد</t>
  </si>
  <si>
    <t>عملیات بازاریابی وقیمت گذاری موثر انجام شده</t>
  </si>
  <si>
    <t>طبق مناسبی از مدیریت این تصمیم را گرفته</t>
  </si>
  <si>
    <t>پیش بینی شود که دارایی تا 12 ماه آتی بفروش برسد</t>
  </si>
  <si>
    <t>یک سال گذشت حالا چیکار کنیم؟</t>
  </si>
  <si>
    <t>اگر شرایط بالا برقرار است- دست نمی زنیم</t>
  </si>
  <si>
    <t>سرمایه</t>
  </si>
  <si>
    <t>سرمایه ثبت شده</t>
  </si>
  <si>
    <t>سرمایه پرداخت شده</t>
  </si>
  <si>
    <t>سرمایه تعهد شده</t>
  </si>
  <si>
    <t>سرمایه ایی که در اداره ثبت شرکت ها به ثبت رسیده است</t>
  </si>
  <si>
    <t>بخشی از سرمایه ثبت شده است که در تعهد صاحبان سهام است</t>
  </si>
  <si>
    <t>بخشی از سرماییه ثبت شده است که پرداخت هم شده است</t>
  </si>
  <si>
    <t>شرکتی با سرمایه 1 میلیارد ریال در اداره ثبت - ثبت شده است</t>
  </si>
  <si>
    <t>سهامداران 35% آنرا در روز 1 فروردین 1403 به حساب بانک واریز کردند تاریخ ثبت شده همان روز</t>
  </si>
  <si>
    <t>ثبت بالا باید چه روزی صادر شود و  بدهکار  و بستانکارآن چیست ؟</t>
  </si>
  <si>
    <t>حسابدار شرکت در تاریخ 1403/03/31 استخدام دو در خواست پلمپ دفاتر و همانروز پلمپ شد</t>
  </si>
  <si>
    <t>سرمایه ثبتی</t>
  </si>
  <si>
    <t>تعهد صاحبان سهام</t>
  </si>
  <si>
    <t>سند حسابداری- 31 خرداد به بعد باشد</t>
  </si>
  <si>
    <t>سهامدار</t>
  </si>
  <si>
    <t>درصد سهام</t>
  </si>
  <si>
    <t>تعداد سهام</t>
  </si>
  <si>
    <t>مبلغ سرمایه</t>
  </si>
  <si>
    <t>کسر می شود تعهد صاحبان سهام</t>
  </si>
  <si>
    <t>تمرین مهلت ایفای تعهد صاحبان سهام چند وقت است ؟</t>
  </si>
  <si>
    <t>ایا ایفای تهعد باید در اداره ثبت شرکت هم ثبت شود؟</t>
  </si>
  <si>
    <t>اگرایفا نشود می توان افزایش سرمایه جدید داد ؟</t>
  </si>
  <si>
    <t>ایفا نکرده به ان سود تعلق میگیرد ؟</t>
  </si>
  <si>
    <t>قوانین آمره هستند</t>
  </si>
  <si>
    <t>امری باید نباید</t>
  </si>
  <si>
    <t>قوانین آمره تر - بالا دستی</t>
  </si>
  <si>
    <t>زور آنها بیشتر است</t>
  </si>
  <si>
    <t>ذخیره: نوعی بدهی بود که زمان پرداخت  مبلغ دقیقی یا هر مشخص نیستند</t>
  </si>
  <si>
    <t>مبنا محاسبه ذخیره</t>
  </si>
  <si>
    <t>میزان ذخیره مورد نیاز</t>
  </si>
  <si>
    <t>ذخیره موجود چقدر است</t>
  </si>
  <si>
    <t>هزینه دوره</t>
  </si>
  <si>
    <t>شخصی در تاریخ 1 فروردین ماه 1401 با حقوق ماهانه 50 میلیون ریال استخدام شد</t>
  </si>
  <si>
    <t>در پایان دوره آزمایشی حقوق 70 میلیون ریال</t>
  </si>
  <si>
    <t>اگر حقوق سال 1402 ایشان 100 میلیون ریال باشد میزان ذخیره و هزینه مزایای پایان خدمت برای هر 2 سال به تفکیک ارایه شود - ویادداشت صورت مالی هم تکمیل شود</t>
  </si>
  <si>
    <t>نام فرد</t>
  </si>
  <si>
    <t>مبلغ حقوق</t>
  </si>
  <si>
    <t>تعداد روز کارکرد</t>
  </si>
  <si>
    <t>ذخیره مورد نیاز</t>
  </si>
  <si>
    <t>ذخیره موجود</t>
  </si>
  <si>
    <t>ذخیره مزایای پایان خدمت</t>
  </si>
  <si>
    <t>هزینه مزایای پایان خدمت</t>
  </si>
  <si>
    <t>ذخیزه مزایای پایان خدمت</t>
  </si>
  <si>
    <t>مانده ابتدا</t>
  </si>
  <si>
    <t>1401/12/29</t>
  </si>
  <si>
    <t>پرداخت شده طی دوره</t>
  </si>
  <si>
    <t>تامین شده طی دوره</t>
  </si>
  <si>
    <t>جلسه نهم- صورت تغییرات در حقوق مالکانه</t>
  </si>
  <si>
    <t>کارگری / کارمندی</t>
  </si>
  <si>
    <t>برای دیگران زمان بفروش می رسانیم- عددی ثابت- متغیر</t>
  </si>
  <si>
    <t>با دید کسب تجربه</t>
  </si>
  <si>
    <t>خویش فرما</t>
  </si>
  <si>
    <t>مشاوره مالیاتی- مشاوره مالی- مشاوره بیمه- صورت مالی تلفیقی</t>
  </si>
  <si>
    <t>زمان می فروشید- بازده بالاتر هم برای خودتان است</t>
  </si>
  <si>
    <t>شروع بیزینس</t>
  </si>
  <si>
    <t>دیگران برای ما کار می کنند- سیستم را من چیده ام- وقت بزارم</t>
  </si>
  <si>
    <t>کسب ناشی از بیزینیس</t>
  </si>
  <si>
    <t xml:space="preserve">شروع بیزنس- کارگر کارمند- بازار پیدا </t>
  </si>
  <si>
    <t>کسب سود</t>
  </si>
  <si>
    <t>قبلا</t>
  </si>
  <si>
    <t>زیر صورت سود وزیان- گردش حساب سود( زیان) انباشته</t>
  </si>
  <si>
    <t>گردش حساب سود( زیان) انباشته</t>
  </si>
  <si>
    <t xml:space="preserve">تعدیل   </t>
  </si>
  <si>
    <t>سود وضعیت مالی</t>
  </si>
  <si>
    <t>یک صورت مالی اضافه شده- صورت تغییرات در حقوق مالکانه</t>
  </si>
  <si>
    <t>باید گردش تک تک اقلام حقوق مالکانه برای 2 دوره ارایه کنیم</t>
  </si>
  <si>
    <t>یک صورت مالی ماتریسی باید تهیه شود- چند سطر و چند ستون داشه باشد.</t>
  </si>
  <si>
    <t>4 تا سطر اصلی دارد</t>
  </si>
  <si>
    <t>اقلام حقوق مالکانه به تفکیک در ابتدای دوره</t>
  </si>
  <si>
    <t>اندوخته</t>
  </si>
  <si>
    <t>مازاد تجدید ارزیابی</t>
  </si>
  <si>
    <t>تغییرات در حقوق مالکانه ناشی از عملکرد واحد تجاری</t>
  </si>
  <si>
    <t>سایر سود های جامع</t>
  </si>
  <si>
    <t>تغییرات در حقوق مالکانه ناشی از مبادله با مالکانه</t>
  </si>
  <si>
    <t>تقسیم منافع- سود سهام مصوب</t>
  </si>
  <si>
    <t>جابه جایی بین اقلام- اندوخته قانونی</t>
  </si>
  <si>
    <t>افزایش سرمایه از مازاد</t>
  </si>
  <si>
    <t>اقلام حقوق مالکانه به تفکیک در انتهای دوره</t>
  </si>
  <si>
    <t>سال مالی شرکت منتهی به 29 اسفند 1395</t>
  </si>
  <si>
    <t>حسابدار شرکت دفاتر را نهایی کرده و اظهارنامه را هم تهیه کرده است</t>
  </si>
  <si>
    <t>حسابرسان برای رسیدگی سال مزبور در مرداد ماه 1396 در شرکت مستقر شدند-</t>
  </si>
  <si>
    <t>سال 1395</t>
  </si>
  <si>
    <t>سود خالص دوره</t>
  </si>
  <si>
    <t>حسابدار شرکت برای هزینه حسابرسی سال قبل عددی در حساب ها منظور نکرده است</t>
  </si>
  <si>
    <t>مبلغ هزینه حسابرسی</t>
  </si>
  <si>
    <t>سود انباشته/ تعدیلات سنواتی</t>
  </si>
  <si>
    <t>موسسه حسابرسی</t>
  </si>
  <si>
    <t>سند حسابداری- 1396</t>
  </si>
  <si>
    <t>سال 1396</t>
  </si>
  <si>
    <t>گردش حساب سود انباشته</t>
  </si>
  <si>
    <t>سود انباشته ابتدای سال</t>
  </si>
  <si>
    <t>سود انباشته ابتدای سال تعدیل شده</t>
  </si>
  <si>
    <t>سود انباشته انتهای سال</t>
  </si>
  <si>
    <t>اگر در سال جاری اصلاح اشتباهی صورت بگیرد- باید ارقام مقایسه ای صورت های مالی تجدید ارایه شود</t>
  </si>
  <si>
    <t>تجدید ارایه یعنی از خودم بپرسم اگر این سند را پارسال متوجه می شدم چی سند می زدم ؟</t>
  </si>
  <si>
    <t>برای تجدید ارایه باید اثر این سند فرضی بر ارقام مقایسه ایی منظور کنیم- بعد از تجدید ارایه ارقام مقایسه ایی</t>
  </si>
  <si>
    <t>با تراز پارسال- صورت مالی پارسال و اظهارنامه مالیاتی پارسال مطابقت ندارد</t>
  </si>
  <si>
    <t>اما . از کجا متوجه شویم که صورت های مالی تجدید ارایه لازم داشته است ؟</t>
  </si>
  <si>
    <t>اگر در دفاتر شرکت حساب شود انباشته بابت اقلام سال قبل گردش دارد</t>
  </si>
  <si>
    <t>اگر صورت مالی به درستی تهیه شده باشد در ستون سال جاری عدد تعدیلات سنواتی داشته باشیم</t>
  </si>
  <si>
    <t>1-</t>
  </si>
  <si>
    <t>2-</t>
  </si>
  <si>
    <t>از کجا متوجه شویم اگر صورت مالی تجدید ارایه لازم داشته است،تجدید ارایه شده است ؟</t>
  </si>
  <si>
    <t>درگردش حساب سود انباشته - اگر سود انباشته انتهای سال در ستون سال قبل- اگر با عدد سال انباشته ابتدای سال در ستون سال جاری</t>
  </si>
  <si>
    <t>اگر با عدد قبل از تعدیلات سنواتی یکی بود- یعنی صورت مالی تجدید ارایه نشده است-</t>
  </si>
  <si>
    <t>اگر با عدد بعد از تعدیلات سنواتی یکی بود- یعنی تجدید ارایه شده است</t>
  </si>
  <si>
    <t>تجدید ارایه شده</t>
  </si>
  <si>
    <t>برای توضیحات اضافه</t>
  </si>
  <si>
    <t>طبق صورت مالی 1395</t>
  </si>
  <si>
    <t>اصلاح اشتباه</t>
  </si>
  <si>
    <t>تغییر رویه</t>
  </si>
  <si>
    <t>تغییر در طبقه</t>
  </si>
  <si>
    <t>طبق صورت مالی 1396</t>
  </si>
  <si>
    <t>در سال جاری یه قلم درآمد یا هزینه ایی پیدا کنم که مربوط سال یا سالهای قبل باشد</t>
  </si>
  <si>
    <t>اگر تعدیلات سنواتی مربوط به سال قبل باید در فرآیند تجدید ارایه چه تفاوتی دارد یا تعدیلات سنواتی مربوط به بیش از یک سال قبل</t>
  </si>
  <si>
    <t>اصلاح اشتباهات</t>
  </si>
  <si>
    <t>اشتباه ریاضی</t>
  </si>
  <si>
    <t>ناشی از درک تفسیر نا صحیح استاندارد حسابداری</t>
  </si>
  <si>
    <t>عدم وجود اطلاعات کافی</t>
  </si>
  <si>
    <t>تغییر در رویه حسابداری</t>
  </si>
  <si>
    <t>از یک رویه مورد قبول حسابداری به یک رویه مورد قبول دیگر منتقل شویم</t>
  </si>
  <si>
    <t>سوال :</t>
  </si>
  <si>
    <t>آیا تغییر رویه از روش لایفو به روش میانگین تغییر در رویه است ؟</t>
  </si>
  <si>
    <t>خیر اصلاح اشتباه است- رویه لایفو رویه مورد مجاز نبوده است</t>
  </si>
  <si>
    <t xml:space="preserve">موردی را طبقه اشتباه  انجام داده بودیم </t>
  </si>
  <si>
    <t>تغییر در طبقه بندی</t>
  </si>
  <si>
    <t>تغییر در براورد حسابداری</t>
  </si>
  <si>
    <t>عمر مفید دارایی ثابت</t>
  </si>
  <si>
    <t>از روزی که تغییر داده ایم- اعداد جدید استفاده می شود- عطف به ماسبق نمی شود</t>
  </si>
  <si>
    <t>اگر از تعدیلات سنواتی  استفاده کنیم</t>
  </si>
  <si>
    <t>نحوه برخورد ممیزان مالیاتی با این بدهکار /بستانکار چیست ؟</t>
  </si>
  <si>
    <t>جلسه دهم- تجدید ارایه- جریان های نقد</t>
  </si>
  <si>
    <t>از کجا متوجه شویم که صورت های مالی نیاز به تجدید ارایه دارد ؟</t>
  </si>
  <si>
    <t>تجدید ارایه سال قبل صحبت می کنیم.</t>
  </si>
  <si>
    <t>اگر صورت به درستی تهیه شده باشد بعد از آخرین یادداشت مربوط به صورت وضعیت مالی/ پیش دریافت ها</t>
  </si>
  <si>
    <t>یادداشتی داریم به اسم اصلاح اشتباه / تغییر در رویه- تغییر در طبقه بندی</t>
  </si>
  <si>
    <t>اگر در سال جاری دارایی عدد بود- یعنی صورت های مالی تجدید ارایه لازم داشته است .</t>
  </si>
  <si>
    <t>برای اطمینان بیشتر در دفاتر شرکت گردش حساب سود و زیان انباشته مشاهده می کنیم- اگر از بابت درآمد ها و هزینه های دوره آیتمی داد یعنی صورت های مالی تجدید ارایه لازم داشته است ؟</t>
  </si>
  <si>
    <t>از کجا متوجه شویم که تجدید ارایه شده است ؟</t>
  </si>
  <si>
    <t>عدد سود سال قبل در صورت سود و زیان سال قبل/ اگر با عدد سود سال قبل در صورت تغییرات در حقوق مالکانه</t>
  </si>
  <si>
    <t>با عدد قبل از تعدیلات سنواتی یکی بود یعنی تجدید ارایه نشده است .</t>
  </si>
  <si>
    <t>اگر با عدد بعد از تعدیلات یکی بود( تجدید ارایه شده) یعنی صورت های مالی تجدید ارایه شده است .</t>
  </si>
  <si>
    <t>گام اول در تهیه صورت جریان های نقد تجدید ارایه صورت های مالی است- اگر صورت های مالی که تجدید ارایه لازم داشته است را تجدید ارایه نشود -صورت جریان های نقد ما به اندازه</t>
  </si>
  <si>
    <t>همان عدد دارای مغایرت است .</t>
  </si>
  <si>
    <t>بعد از تجدید ارایه صورتهای مالی به موضوع صورت جریان های نقد می پردازیم</t>
  </si>
  <si>
    <t>صورت سود و زیان جامع</t>
  </si>
  <si>
    <t>مبنای تهیه</t>
  </si>
  <si>
    <t>تعهدی</t>
  </si>
  <si>
    <t>چگونه و از چه محلی نقد ابتدای دوره تبدیل شده است به نقد انتهای دوره</t>
  </si>
  <si>
    <t>فعالیت سرمایه گذاری</t>
  </si>
  <si>
    <t>فعالیت های تامین مالی</t>
  </si>
  <si>
    <t>"+-"</t>
  </si>
  <si>
    <t>خالص تغییرات در نقد طی دوره</t>
  </si>
  <si>
    <t>نقد ابتدای دوره</t>
  </si>
  <si>
    <t>+</t>
  </si>
  <si>
    <t>نقد انتهای دوره</t>
  </si>
  <si>
    <t>درباره کیفیت سود توضیحاتی را می دهد</t>
  </si>
  <si>
    <t>این صورت مالی دستخوش براورد های حسابداری نمی شود</t>
  </si>
  <si>
    <t>درگیر اقلام تعهدی نمی شود</t>
  </si>
  <si>
    <t>وصول</t>
  </si>
  <si>
    <t>تعاریف</t>
  </si>
  <si>
    <t>قبلا اسم صورت جریان های نقد - صورت جریان وجوه نقد</t>
  </si>
  <si>
    <t>جریان نقد</t>
  </si>
  <si>
    <t>قبلا نقد فقط شامل نقد- سپرده های دیداری و تنخواه صندوق</t>
  </si>
  <si>
    <t>تعریف هم شامل نقد هم شامل معادل نقد</t>
  </si>
  <si>
    <t>ورود و یا خروج نقد و یا معادل نقد می شود</t>
  </si>
  <si>
    <t>معادل نقد : آیتمی که دارای نقد شوندگی بالا باشد- ریسک تغییر ارزش نداشته باشد در زمان خرید قیمت فروش آن مشخص باشد و سررسید حداکثر 3 ماهه داشته باشد .</t>
  </si>
  <si>
    <t>سرمایه گذاری در سکه طلا معادل نقد است ؟</t>
  </si>
  <si>
    <t>قیمت فروش مشخص نیست- ریسک تغییر ارزش دارد- سررسید ندارد</t>
  </si>
  <si>
    <t>سرمایه گذاری در سهام بورسی معادل نقد</t>
  </si>
  <si>
    <t>ریسک تغییر ارزش دارد- سررسید ندارد</t>
  </si>
  <si>
    <t>سپرده های بانکی کوتاه مدت با حداکثر سررسید 3 ماهه</t>
  </si>
  <si>
    <t>فعالیت های عملیاتی:</t>
  </si>
  <si>
    <t>نقد حاصل از فعالیت عملیاتی مهم است</t>
  </si>
  <si>
    <t>جریان های نقد ناشی از فعالیت های اصلی و مستمر واحد تجاری  و یا موردی که در هیچ طبقه دیگری از جریان های نمی توان آنرا طبقه بندی کرد</t>
  </si>
  <si>
    <t>دریافت نفد بابت فروش- پیش دریافت</t>
  </si>
  <si>
    <t>پرداخت بابت بهای تمام شده - هزینه- پیش پرداخت</t>
  </si>
  <si>
    <t>وجوه دریافتی از بیمه جهت خسارت</t>
  </si>
  <si>
    <t>فعالیت سرمایه گذاری:</t>
  </si>
  <si>
    <t>تغییرات در دارایی های بلند مدت و سرمایه گذاری ها و بازده دریافتی بابت آنها</t>
  </si>
  <si>
    <t>دریافت نقد بابت فروش دارایی ثابت</t>
  </si>
  <si>
    <t>پرداخت نقد بابت خرید دارایی ثابت</t>
  </si>
  <si>
    <t>پرداخت نقد بابت سرمایه گذاری</t>
  </si>
  <si>
    <t>دریافت نقد بابت فروش سرمایه گذاری</t>
  </si>
  <si>
    <t>دریافت نقد بابت سود سهام</t>
  </si>
  <si>
    <t>دریافت نفد بابت سود سپرده بانکی</t>
  </si>
  <si>
    <t>فعالیت تامین مالی</t>
  </si>
  <si>
    <t>تغییرات در استقراض های واحد تجاریو یا تغییرات در سرمایه و سود پرداختی بابت آنها</t>
  </si>
  <si>
    <t>دریافت بابت اخذ تسهیلات</t>
  </si>
  <si>
    <t>بازپرداخت تسهیلات</t>
  </si>
  <si>
    <t>پرداخت بابت سود تسهیلات</t>
  </si>
  <si>
    <t>دریافت بابت افزایش سرمایه</t>
  </si>
  <si>
    <t>پرداخت بابت سود سهام مصوب به سهامداران</t>
  </si>
  <si>
    <t>قبلا صورت جریان وجوه نقد</t>
  </si>
  <si>
    <t>بازده سرمایه گذاری  ها وسود پرداختی</t>
  </si>
  <si>
    <t>پرداخت بابت مالیات</t>
  </si>
  <si>
    <t>فعالیت های سرمایه گذاری</t>
  </si>
  <si>
    <t>نحوه برخورد با تعدیلات سنواتی چیست ؟</t>
  </si>
  <si>
    <t>برای همین اگر حساب های مربوط به درستی تجدید ارایه شده باشند در جریان های نقد ما اثرشان به درستی قید می شود</t>
  </si>
  <si>
    <t>در غیر این صورت به همان اندازه صورت جریان های نقد دارای مغایرت خواهد بود</t>
  </si>
  <si>
    <t>نحوه برخورد با موارد ارزی</t>
  </si>
  <si>
    <t>تسعیر ارز سایر موارد</t>
  </si>
  <si>
    <t>وقتی عملا شناسایی می شود در حساب های مربوطه منظور شده است- ما هم اثر آنرا می آورد</t>
  </si>
  <si>
    <t>تسعیر ارز ناشی از خود نقد و معادل نقد</t>
  </si>
  <si>
    <t>این سود یا زیان- اثرات ناشی از تغییرات نرخ ارز بعنوان یک قلم جداگانه در انتهای صورت جریان های نقد قید می شود</t>
  </si>
  <si>
    <t>معاملات غیر نقد</t>
  </si>
  <si>
    <t>منظور معاملات نسیه نیستند</t>
  </si>
  <si>
    <t>معاملاتی است که اساسا قرار نیست بابت آنها نقدی رد و بدل شود- یک طرفش حتما در طبقه تامین یا سرمایه گذاری</t>
  </si>
  <si>
    <t>تسویه وام بانکی از محل تحویل موجودی کالا</t>
  </si>
  <si>
    <t>خرید دارایی ثابت در قبال وام بانکی</t>
  </si>
  <si>
    <t>افزایش سرمایه از محل مطالبات حال شده سهامداران</t>
  </si>
  <si>
    <t>آنهایی که دارای اهمیت هستند- باید جمع آنها در زیر صورت جریان های نقد افشا شود- ریز جزییات در یادداشت های توضیحی همراه صورت مالی</t>
  </si>
  <si>
    <t>تمرین دارایی ثابتی را در سال 1402 به مبلغ 15 میلیارد ریال خریداری کرده ایم</t>
  </si>
  <si>
    <t>بابت آن چک داده ایم برای سال 1403</t>
  </si>
  <si>
    <t>در جریان های نقد این معامله چقدر در طبقه سرمایه گذاری افشا می شود ؟</t>
  </si>
  <si>
    <t>چقدر در معاملات غیر نقد افشا می شود ؟</t>
  </si>
  <si>
    <t>برای تهیه صورت جریان های نقد 2 روش داریم</t>
  </si>
  <si>
    <t>برای طبقه عملیاتی</t>
  </si>
  <si>
    <t>روش مستقیم</t>
  </si>
  <si>
    <t>روش غیر مستقیم</t>
  </si>
  <si>
    <t>اقلام عمده تشکیل دهنده نقد عملیات را باید افشا کنیم</t>
  </si>
  <si>
    <t>از یک یادداشت کمکی استفاده می کنیم( که جز صورت جریان نیست) که عملا نقد حاصل از عملیات را محاسبه می کنیم</t>
  </si>
  <si>
    <t>نقد حاصل فروش: فروش+- تغییرات در حساب های دریافتنی+- تغییرات در پیش دریافت ها</t>
  </si>
  <si>
    <t>نقد پرداخت بابت بهای تمام شده: بهای تمام شده+- تغییرت در حساب های پرداختنی+- تغییرات در موجودی کالا +- تغییرات در پیش پرداخت ها</t>
  </si>
  <si>
    <t>نقد پرداخت بابت هزین های عمومی اداری: هزینه های عمومی اداری+- اقلام غیر نقد+- حساب پرداختنی مربوطه+- پیش پرداخت های مربوطه</t>
  </si>
  <si>
    <t xml:space="preserve">از یادداشت نقد حاصل از عملیات </t>
  </si>
  <si>
    <t>از سود خالص دوره یا سود قبل از مالیات شروع می کنیم</t>
  </si>
  <si>
    <t>باید یک سری تعدیلات روی این عدد انجام شود</t>
  </si>
  <si>
    <t>تعدیل بابت اقلام غیر نقد: هزینه استهلاک- مالیات سال جاری افزایش در مزایای پایان خدمت</t>
  </si>
  <si>
    <t xml:space="preserve">تعدیل بابت اقلامی که خودشان در طبقه سرمایه گذاری یا تامین مالی باید ارایه شوند- هزینه های مالی- سود فروش دارایی سود فروش سرمایه گذاری </t>
  </si>
  <si>
    <t>تعدیل بابت تغییرات سرمایه در گردش</t>
  </si>
  <si>
    <t>برای دیگرطبقات صورت جریان های نقد در 2 فاز تهیه می شود</t>
  </si>
  <si>
    <t>فاز یک: فرض هر چه اتفاق افتاده است- نقد است- فروش دارایی- خرید دارایی ثابت- هزینه مالی و.......</t>
  </si>
  <si>
    <t xml:space="preserve">وقتی همه اقلام منظور و صورت جریان های نقد دارای مغایرت نبود- </t>
  </si>
  <si>
    <t>فاز دو: اقلامی که در فاز یک منظور شده اند - اما نیاز به نقدی شدن دارند</t>
  </si>
  <si>
    <t>جلسه یازدهم</t>
  </si>
  <si>
    <t>برای تغییرات سرمایه در گردش در صورت جریان های نقد/ نقد حاصل از عملیات</t>
  </si>
  <si>
    <t>برای دارایی ها</t>
  </si>
  <si>
    <t>در صورت وضعیت مالی عدد سال قبل را منهای سال جاری می کنیم</t>
  </si>
  <si>
    <t>برای بدهی ها</t>
  </si>
  <si>
    <t>در صورت وضعیت مالی عدد سال جاری را منهای سال قبل می کنیم</t>
  </si>
  <si>
    <t>پرداخت بابت مالیات ارتباطی به ارزش افزوده- تکلیفی - حقوق 169 ندارد</t>
  </si>
  <si>
    <t>فقط موارد مربوط به مالیات بر عملکردی که امسال پرداخت شده</t>
  </si>
  <si>
    <t>در یادداشت مالیات پرداختنی- عدد مالیات پرداختنی که سال قبل بوده امسال نیست</t>
  </si>
  <si>
    <t>با استفاده از حساب تی</t>
  </si>
  <si>
    <t>برای روش T</t>
  </si>
  <si>
    <t>مالیات پرداختنی</t>
  </si>
  <si>
    <t>ایجاد شده</t>
  </si>
  <si>
    <t>مانده انتهای</t>
  </si>
  <si>
    <t xml:space="preserve">بعد از طبقه عملیاتی </t>
  </si>
  <si>
    <t xml:space="preserve">برای طبقات سرمایه و تامین مالی باید در 2 فاز انجام شود </t>
  </si>
  <si>
    <t>فرض می کنیم هر چه اتفاق افتاده نقد است .</t>
  </si>
  <si>
    <t>بعد از اینکه صورت جریان های نقد مغایرت نداشت- خوند</t>
  </si>
  <si>
    <t>اقلامی که نیاز به نقد شدن دارند را اصلاح می کنیم</t>
  </si>
  <si>
    <t>پرداخت های نقدی برای خرید دارایی های ثابت مشهود</t>
  </si>
  <si>
    <t>از یادداشت دارایی های ثابت بخش بهای تمام شده- سال جاری اضافات طی دوره</t>
  </si>
  <si>
    <t>با علامت منفی</t>
  </si>
  <si>
    <t>دریافت های نقدی حاصل از فروش دارایی های ثابت مشهود</t>
  </si>
  <si>
    <t>دارایی ثابت</t>
  </si>
  <si>
    <t>بهای تمام شده دارایی ثابت</t>
  </si>
  <si>
    <t>سایر درآمد ها و هزینه های غیر عملیاتی سود فروش</t>
  </si>
  <si>
    <t>بعد اتمام قاز یک- برای فاز مواردی که نیاز به نقدی شدن دارند را انتخاب می کنیم و یکی یکی آنها را نقد می کنیم</t>
  </si>
  <si>
    <t>دریافت بابت فروش دارایی ثابت</t>
  </si>
  <si>
    <t>عدد در فاز یک</t>
  </si>
  <si>
    <t>در حساب های دریافتنی دنبال- که خریدار دارایی ثابت</t>
  </si>
  <si>
    <t>دریافتی از خریدار دارایی ثابت</t>
  </si>
  <si>
    <t>شارژ شده طی دوره</t>
  </si>
  <si>
    <t>مانده انتها</t>
  </si>
  <si>
    <t>فاز یک</t>
  </si>
  <si>
    <t>فاز دو</t>
  </si>
  <si>
    <t xml:space="preserve">تعدیل </t>
  </si>
  <si>
    <t>دریافت نقد حاصل از سود سهام</t>
  </si>
  <si>
    <t>ورودجریان های نقد</t>
  </si>
  <si>
    <t>خروج جریان ها نقد</t>
  </si>
  <si>
    <t>تحلیل</t>
  </si>
  <si>
    <t>سناریو 1</t>
  </si>
  <si>
    <t>سناریو 2</t>
  </si>
  <si>
    <t>سناریو 3</t>
  </si>
  <si>
    <t>سناریو 4</t>
  </si>
  <si>
    <t>سناریو 5</t>
  </si>
  <si>
    <t>سناریو 6</t>
  </si>
  <si>
    <t>سناریو 7</t>
  </si>
  <si>
    <t>سناریو 8</t>
  </si>
  <si>
    <t>این حالت غیر طبیعی- در این انباشت نقد وجود دارد- عملیاتی پول می سازد- فروش سرمایه گذاری دارد- وام هم  میگیرد- عدم مدیریت صحیح نقد</t>
  </si>
  <si>
    <t>این حالت غیر طبیعی- عملیاتی  ورود نقد ندارد- دارایی ثابت سرمایه گذاری هم خرد-وام ها رو هم تسویه می کند</t>
  </si>
  <si>
    <t>شرکت از عملیات نقد می سازد و با نقد عملیات و بازده دارایی ها دارد وام ها را تسویه می کند- خوب است- فقط باید بررسی شود که مثبت بودن فعالیت سرمایه ناشی از فروش نباشد</t>
  </si>
  <si>
    <t>شرکت عملیاتی پول می سازد و از محل این پول و تسهیلات نسبت به توسعه فعالیت های می پردازد</t>
  </si>
  <si>
    <t>ایده آل- با نقد حاصل شده از عملیات هم توسعه فعالیت می دهد هم نسبت به تسویه وام ها اقدام کرده است</t>
  </si>
  <si>
    <t>از محل فروش دارایی های و سرمایه گذاری ها و از محل تسهیلات کسر عملیات را جبران می کند</t>
  </si>
  <si>
    <t>در مرحله قبل از بهره برداری- از محل تامین مالی توسعه فعالیت می دهد هزینه های عملیاتی را جبران می کند</t>
  </si>
  <si>
    <t>از محل فروش دارایی/ سرمایه گذاری- دارد کسری عملیات را پوشش می دهد- وام ها را هم تسویه می کند- در حال انحلال</t>
  </si>
  <si>
    <t>اگر جریان های نقد حاصل از عملیات منفی باشد- آیا حسابرس باید نسبت به این موضوع در گزارش خود اشاره ایی داشته باشد ؟ در چه حالتی ؟</t>
  </si>
  <si>
    <t>جلسه دوازدهم</t>
  </si>
  <si>
    <t>یادداشت مدیریت ریسک و سرمایه</t>
  </si>
  <si>
    <t>مدیریت</t>
  </si>
  <si>
    <t>تخصیص بهینه</t>
  </si>
  <si>
    <t>فرض :</t>
  </si>
  <si>
    <t>منابع محدود</t>
  </si>
  <si>
    <t>نیاز ها نامحدود</t>
  </si>
  <si>
    <t>ریسک: رویدادی که با صورت  بالفعل یا بالقوه باعث می شود به اهداف نرسیم- دیر برسیم - یا کامل نرسیم</t>
  </si>
  <si>
    <t>ریسک خسارت مالی ناشی از تصادف</t>
  </si>
  <si>
    <t>کاهش دهیم</t>
  </si>
  <si>
    <t>انتقال بدهیم</t>
  </si>
  <si>
    <t>قطع می کنیم</t>
  </si>
  <si>
    <t>قبول می کنیم</t>
  </si>
  <si>
    <t>در صورت های مالی باید درباره ریسک های زیر صحبت کنیم</t>
  </si>
  <si>
    <t>ریسک بازار</t>
  </si>
  <si>
    <t>ریسک اعتباری</t>
  </si>
  <si>
    <t>ریسک نقدینگی</t>
  </si>
  <si>
    <t>تغییر معکوس  در سطح عمومی قیمت ها-نرخ ارز- نرخ بهره</t>
  </si>
  <si>
    <t>عدم ایفای تعهدات دیگران نسبت به ما-کاهش رتبه اعتباری طرف</t>
  </si>
  <si>
    <t>عدم امکان ایفای تعهدات ما نسبت به دیگران</t>
  </si>
  <si>
    <t>باید در خصوص ریسک ها 2 نوع افشا انجام دهیم</t>
  </si>
  <si>
    <t>افشای کیفی</t>
  </si>
  <si>
    <t>افشای کمی</t>
  </si>
  <si>
    <t>در خصوص ماهیت ریسک- منشا ایجاد- نحوه مدیریت ما در خصوص این ریسک چگونه است .</t>
  </si>
  <si>
    <t>داده- اطلاعات- اعداد ارقام بدهم</t>
  </si>
  <si>
    <t>ریسک بازار:</t>
  </si>
  <si>
    <t>تحلیل سناریو</t>
  </si>
  <si>
    <t>اگر نرخ بهره بشود</t>
  </si>
  <si>
    <t>اثر روی سود من چقدر باشد</t>
  </si>
  <si>
    <t>تحلیل حساسیت</t>
  </si>
  <si>
    <t>در ازای در هر 10 درصد افزایش در نرخ بهره- سود ...... درصد کاهش یا افزایش تجریه کند</t>
  </si>
  <si>
    <t>شرکت همواره در راستای مدیریت ریسک نقدینگی اقدامات زیر را انجام می هد</t>
  </si>
  <si>
    <t>مرور همیشه جریان نقد ورودی و خروجی</t>
  </si>
  <si>
    <t>ایجاد لاین اعتباری مناسب نزد بانکها</t>
  </si>
  <si>
    <t>تهیه بودجه نقدی ماهانه هفتگی - 3 ماهه</t>
  </si>
  <si>
    <t xml:space="preserve"> و....</t>
  </si>
  <si>
    <t>برای تهیه یادداشت ریسک باید به همه دپارتمان ها نامه زده شود</t>
  </si>
  <si>
    <t>اگر شرکت کمیته ریسک دارد- توسط ان در غیر صورت توسط هیات مدیره</t>
  </si>
  <si>
    <t>هر دپارتمان ریسک ها واحدش را از دید خودش اعلام کند- راهکارش برای مدیریت را هم اعلام کند</t>
  </si>
  <si>
    <t>ماه دی 1398 مدیر مالی کارگزاری نهایت نگر</t>
  </si>
  <si>
    <t>کرونا- رونق بازار سرمایه</t>
  </si>
  <si>
    <t>کارگزاری ها یک تعهد دارند</t>
  </si>
  <si>
    <t>باید تا ساعت 12 با اتاق پایاپای تسویه کنند- به ازای هر ثانیه- 5 میلیون تومان جریمه می شود</t>
  </si>
  <si>
    <t>کنترل حساب بانکی</t>
  </si>
  <si>
    <t>جمع حساب های بانکی برابر یا بزرگتر باشد از مانده مشتریان بستانکار</t>
  </si>
  <si>
    <t>ریسک خیلی بزرگ</t>
  </si>
  <si>
    <t xml:space="preserve">بانکی </t>
  </si>
  <si>
    <t>لاین اعتباری دارم</t>
  </si>
  <si>
    <t>کامل استفاده کرده ام</t>
  </si>
  <si>
    <t>لاین رزرو</t>
  </si>
  <si>
    <t>کامل پیش خودت در حساب جاری-وثیقه کن</t>
  </si>
  <si>
    <t>ریسک مباحث مالیاتی</t>
  </si>
  <si>
    <t>رویداد های از لحاظ امکان رخداد</t>
  </si>
  <si>
    <t>مشخص</t>
  </si>
  <si>
    <t>نا مشخص</t>
  </si>
  <si>
    <t>مطلوب</t>
  </si>
  <si>
    <t>نامطلوب</t>
  </si>
  <si>
    <t>بدهی های احتمالی</t>
  </si>
  <si>
    <t>محتمل</t>
  </si>
  <si>
    <t>ممکن</t>
  </si>
  <si>
    <t>امکان رخداد بیش از 50%</t>
  </si>
  <si>
    <t>امکان رخداد یا عدم رخداد 50%</t>
  </si>
  <si>
    <t>بعید</t>
  </si>
  <si>
    <t>امکان رخداد زیر 50%</t>
  </si>
  <si>
    <t>قابل اندازه گیری</t>
  </si>
  <si>
    <t>قابل اندازه گیری نیست</t>
  </si>
  <si>
    <t>ذخیره - باید صدور سند</t>
  </si>
  <si>
    <t>بدهی احتمالی- افشا</t>
  </si>
  <si>
    <t>بدهی احتمالی-افشا</t>
  </si>
  <si>
    <t>بدهی احتمالی- عدم افشا</t>
  </si>
  <si>
    <t>بدهی احتمالی-عدم افشا</t>
  </si>
  <si>
    <t>دارایی های احتمالی</t>
  </si>
  <si>
    <t>دارایی احتمالی- عدم افشا</t>
  </si>
  <si>
    <t>دارایی احتمالی- افشا</t>
  </si>
  <si>
    <t>سود سهام پیشنهادی</t>
  </si>
  <si>
    <t>میزان سود پیشنهادی برای تقسیم بین سهامداران- همان 10 درصد الزام قانون تجارت</t>
  </si>
  <si>
    <t>هیات مدیره حتما باید منبع جریان نقد پرداخت سود سهام را به تفکیک طبقات عملیاتی- سرمایه گذاری- تامین مالی افشا شود</t>
  </si>
  <si>
    <t>وام- تامین مالی</t>
  </si>
  <si>
    <t>جلسه اول</t>
  </si>
  <si>
    <t>جلسه: سیزدهم</t>
  </si>
  <si>
    <t>صورت های مالی میان دوره ایی</t>
  </si>
  <si>
    <t>صورت های مالی شرکت های در مرحله قبل از بهره برداری</t>
  </si>
  <si>
    <t>صورت های مالی شرکت های در مرحله تصفیه</t>
  </si>
  <si>
    <t>6 ماهه</t>
  </si>
  <si>
    <t>گزارش حسابرسی</t>
  </si>
  <si>
    <t>صورت های مالی  ویادداشت های توضیحی کامل ارایه شوند</t>
  </si>
  <si>
    <t>صورت های مالی و برخی یادداشت های مهم</t>
  </si>
  <si>
    <t>صورت های مالی فشرده</t>
  </si>
  <si>
    <t>باید همان مبنا هایی که برای صورت های مالی سالانه داریم- مورد استفاده قرار گیرد.</t>
  </si>
  <si>
    <t>رویکرد متصل</t>
  </si>
  <si>
    <t>رویکرد منفصل</t>
  </si>
  <si>
    <t>برای اقلامی که ماهیت سالانه دارند- ابتدا عدد سال را بدست می آوریم- بعد سهم دوره میانی را حساب می کنیم</t>
  </si>
  <si>
    <t>استهلاک سالانه</t>
  </si>
  <si>
    <t>برای اقلامی که ماهیت سالانه ندارند- هزینه تعمیر و نگهداری- هر چه در دوره میانی اتفاق افتاده بود در صورت های مالی منظور می شود</t>
  </si>
  <si>
    <t>متصل:</t>
  </si>
  <si>
    <t>روش استهلاک نزولی</t>
  </si>
  <si>
    <t>متصل</t>
  </si>
  <si>
    <t>استهلاک سال مالی</t>
  </si>
  <si>
    <t>سه ماهه اول</t>
  </si>
  <si>
    <t>سه ماهه دوم</t>
  </si>
  <si>
    <t>سه ماهه سوم</t>
  </si>
  <si>
    <t>سه ماهه چهارم</t>
  </si>
  <si>
    <t>ارزش دفتری انتهای 3 ماهه اول</t>
  </si>
  <si>
    <t>ارزش دفتری در انتهای 3 ماهه دوم</t>
  </si>
  <si>
    <t>ارزش دفتری انتهای 3 ماهه سوم</t>
  </si>
  <si>
    <t>منفصل</t>
  </si>
  <si>
    <t xml:space="preserve">هزینه تعمیر و نگهداری برای سال </t>
  </si>
  <si>
    <t>بودجه</t>
  </si>
  <si>
    <t>واقعا در 3 ماهه اول اتفاق افتاده</t>
  </si>
  <si>
    <t>هزینه تعمیر و نگهداری</t>
  </si>
  <si>
    <t>ذخیره هزینه های تحقق یافته و پرداخت نشده</t>
  </si>
  <si>
    <t>صورت های مالی میان دورای از دید ارایه و افشا چه تفاوتی دارند با صورت های مالی سالانه</t>
  </si>
  <si>
    <t>صورت وضعیت مالی- سالانه</t>
  </si>
  <si>
    <t>آخر سال جاری</t>
  </si>
  <si>
    <t>آخر سال قبل</t>
  </si>
  <si>
    <t>در صورت وضعیت مالی میان دورهایی منتهی به 31 شهریور 1403</t>
  </si>
  <si>
    <t>آخر دوره میانی</t>
  </si>
  <si>
    <t>1403/06/31</t>
  </si>
  <si>
    <t>آخرین سال قبل</t>
  </si>
  <si>
    <t>صورت سود و زیان و صورت های عملکردی</t>
  </si>
  <si>
    <t>سال مالی منتهی به 1403/12/30</t>
  </si>
  <si>
    <t>سال مالی منتهی به 1402/12/29</t>
  </si>
  <si>
    <t>میانی منتهی به 31 شهریور 1403</t>
  </si>
  <si>
    <t>دوره مالی 6 ماهه منتهی به 31 شهریور 1403</t>
  </si>
  <si>
    <t>دوره مالی 6 ماهه منتهی به 31 شهریور 1402</t>
  </si>
  <si>
    <t>در صفحات اشاره می شود که این صورت های مالی میان دوره ایی است</t>
  </si>
  <si>
    <t>صورت های مالی شرکت ها درمرحله قبل از بهره برداری</t>
  </si>
  <si>
    <t>چه واحدی در مرحله قبل از بهره برداری به حساب می آید</t>
  </si>
  <si>
    <t>شرکتی که تمام تلاشش را دارد صرف شروع فعالیت خود می کند- یا اخیرا فعالیت خود را شروع کرده اما هنوز به 20 درصد ظرفیت اصلی نرسیده است .</t>
  </si>
  <si>
    <t>بیست درصد ظرفیت</t>
  </si>
  <si>
    <t>حسابداری این شرکت ها تمام همانند سایرشرکت ها</t>
  </si>
  <si>
    <t>دارایی</t>
  </si>
  <si>
    <t>منافع قبلا کسب شده بود- تحت کنترل نبود</t>
  </si>
  <si>
    <t>زیان</t>
  </si>
  <si>
    <t>مخارجی که انجام می شود- اگر طبق استاندارد حسابداری قابلیت شناسایی بعنوان یک دارایی مجزا را دارد</t>
  </si>
  <si>
    <t>ساختمان در جریان تکمیل</t>
  </si>
  <si>
    <t>سوله در حال ساخت</t>
  </si>
  <si>
    <t>خط تولید در جریان تکمیل</t>
  </si>
  <si>
    <t>بعنوان دارایی شناسایی می شود در غیر اینصورت- بعنوان هزینه دوره باید شناسایی گردد .</t>
  </si>
  <si>
    <t>صورت هایی مالی- تفاوت ها</t>
  </si>
  <si>
    <t>در تمامی صفحات بعد از نوع و نام شرکت باید درج شود در مرحله قبل از بهره برداری می باشد</t>
  </si>
  <si>
    <t>در صورت های عملکردی- سود و زیان و جریان های نقد</t>
  </si>
  <si>
    <t>علاوه بر ستون های عادی</t>
  </si>
  <si>
    <t>سال 1401</t>
  </si>
  <si>
    <t>یک ستون دیگر داریم به اسم انباشته از اول تا 1402</t>
  </si>
  <si>
    <t>انباشته تا 1402</t>
  </si>
  <si>
    <t>در صورت های مالی باید در یادداشت های توضیحی اطلاعات بابت وضعیت پروزه ها- اقدامات- مخارج انجام شده- زمابندی تکمیل- مخارج مورد نیاز درصد پیشرفت و...</t>
  </si>
  <si>
    <t>صورت های مالی شرکت های در حال تصفیه</t>
  </si>
  <si>
    <t>نشریه 155 سازمان حسابرسی</t>
  </si>
  <si>
    <t>گزارشگری مالی  و حسابرسی شرکت های در حال تصفیه</t>
  </si>
  <si>
    <t>شرکت در حال تصفیه</t>
  </si>
  <si>
    <t>شرکتی که به هر دلیلی مجمع تشکیل شده و رای به انحلال شرکت داده است- حکم دادگاه رای به انحلال شرکت داده است</t>
  </si>
  <si>
    <t>عملا دیگر صورت های مالی نمی تواند بر مبنای فرض تداوم فعالیت تهیه شود</t>
  </si>
  <si>
    <t>تفکیک دارایی ها و بدهی ها به جاری و غیر جاری معنا ندارد</t>
  </si>
  <si>
    <t>استفاده از فرض بهای تمام شده هم معنا ندارد</t>
  </si>
  <si>
    <t>ارزش جاری</t>
  </si>
  <si>
    <t>مبالغی قابل بازیافت= دارایی ها وقتی فروش رفته چقدر به ما برسد</t>
  </si>
  <si>
    <t>عملا صورت سو و زیان جریان های نقد وضعیت مالی حقوق مالکانه دیگر معنا ندارد</t>
  </si>
  <si>
    <t>وضعیت دارایی</t>
  </si>
  <si>
    <t>دارایی به ارزش روز</t>
  </si>
  <si>
    <t>منهای بدهی ها به ارزش روز</t>
  </si>
  <si>
    <t>مازاد( کسری)</t>
  </si>
  <si>
    <t>تغییرات در خالص دارایی ها</t>
  </si>
  <si>
    <t>یادداشت های توضیحی بجای تاریخچه فعالیت - انحلال باید ارایه شود</t>
  </si>
  <si>
    <t>در تمامی صفحات صورت های- باید بعد از نام و نوع شرکت درج شود در حال تصفیه</t>
  </si>
  <si>
    <t>بعد از مجمع و ثبت در اداره ثبت شرکت - شرکت عملا در مرحله تصفیه بحساب می آید</t>
  </si>
  <si>
    <t>در شرکت های عادی</t>
  </si>
  <si>
    <t>ارکان</t>
  </si>
  <si>
    <t>مجمع</t>
  </si>
  <si>
    <t>بعد از ثبت در اداره شرکت ها</t>
  </si>
  <si>
    <t>مدیر تصفیه</t>
  </si>
  <si>
    <t>ناظر تصفیه</t>
  </si>
  <si>
    <t>سال مالی شرکت منتهی به 29 اسفند 1402</t>
  </si>
  <si>
    <t>مجمع شرکت را محنل کرد و در اداره ثبت شرکت ها 1402/06/31</t>
  </si>
  <si>
    <t>یک دوره مالی ارایه می شود از اول سال  تا 31 شهریور با روال عادی و با مسئولیت هیات مدیره</t>
  </si>
  <si>
    <t>بعد از آن تاریخ صورت های مالی با شرایط فوق تهیه می شود و با مسئولیت مدیر تصفیه</t>
  </si>
  <si>
    <t>صورت های مالی صندوق های سرمایه گذاری</t>
  </si>
  <si>
    <t>Mutual funds</t>
  </si>
  <si>
    <t>بر اساسی ارزش های جاری تهیه می شود</t>
  </si>
  <si>
    <t>جلسه: چهاردهم- پایانی</t>
  </si>
  <si>
    <t>=</t>
  </si>
  <si>
    <t>معادله حسابداری 1399</t>
  </si>
  <si>
    <t>معادله حسابداری 1400</t>
  </si>
  <si>
    <t>اختلاف معادله</t>
  </si>
  <si>
    <t>معادله حسابداری- اختلاف</t>
  </si>
  <si>
    <t>سایر دارایی ها</t>
  </si>
  <si>
    <t>اختلاف نقد</t>
  </si>
  <si>
    <t>صورت جریان های نقد دنبال این موضوع هستیم که نقد ابتدای چگونه تبدیل شده به نقد انتهای دوره</t>
  </si>
  <si>
    <t>سال 1405</t>
  </si>
  <si>
    <t>سطح اهمیت :</t>
  </si>
  <si>
    <t>آن اطلاعاتی که دانستن یا ندانستن آن بتواند بر تصمیم استفاده کننده اثر بگذارد</t>
  </si>
  <si>
    <t>حسابرسی :</t>
  </si>
  <si>
    <t>فرمول دارد استخراج می شود</t>
  </si>
  <si>
    <t>عدم رعایت قانونی</t>
  </si>
  <si>
    <t xml:space="preserve">روش سازمان حسابرسی </t>
  </si>
  <si>
    <t>جمع دارایی بعلاوه جمع درآمد ها تقسیم بر 2</t>
  </si>
  <si>
    <t>میانگین جمع دارایی ها و درآمد ها</t>
  </si>
  <si>
    <t>x</t>
  </si>
  <si>
    <t>جمع درآمد ها</t>
  </si>
  <si>
    <t>جمع دارایی  ها</t>
  </si>
  <si>
    <t>جمع دارایی و درآمد</t>
  </si>
  <si>
    <t>سطح اهمیت در نساجی بروجرد</t>
  </si>
  <si>
    <t>در حسابرسی مقاصد صورت های مالی</t>
  </si>
  <si>
    <t>حسابرس اگر خطایی پیدا کند به تنهایی یا در مجموع از سطح اهمیت بزرگتر باشد - اظهار نظر خود را تعدیل می کند</t>
  </si>
  <si>
    <t>انواع اظهار نظر حسابرس</t>
  </si>
  <si>
    <t>عدم توافق- آثار</t>
  </si>
  <si>
    <t>عدم رعایت استاندارد حسابداری یا قالب گزارشگری</t>
  </si>
  <si>
    <t>یعنی حسابرس خواسته رسیدگی کند به هر دلیلی نشده</t>
  </si>
  <si>
    <t>موضوعی واقعا نتیجه اش به آینده ربط دارد</t>
  </si>
  <si>
    <t>با اهمیت-materiality</t>
  </si>
  <si>
    <t>اساسی -فراگیر</t>
  </si>
  <si>
    <t>فراگیر</t>
  </si>
  <si>
    <t>اشتباهی که اگر اصلاح شود سود تبدیل به زیان می شود و برعکس</t>
  </si>
  <si>
    <t>بیش از 30 درصدیک صورت مالی</t>
  </si>
  <si>
    <t>مردود/ عدم اظهار نظر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</si>
</sst>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0.000%"/>
    <numFmt numFmtId="165" formatCode="_(* #,##0_);_(* \(#,##0\);_(* &quot;-&quot;??_);_(@_)"/>
    <numFmt numFmtId="167" formatCode="[$-3000401]#,##0"/>
  </numFmts>
  <fonts count="7">
    <font>
      <sz val="11"/>
      <color theme="1"/>
      <name val="B Nazanin"/>
      <family val="2"/>
    </font>
    <font>
      <sz val="11"/>
      <color theme="1"/>
      <name val="B Zar"/>
      <charset val="178"/>
    </font>
    <font>
      <sz val="8"/>
      <name val="B Nazanin"/>
      <family val="2"/>
    </font>
    <font>
      <sz val="11"/>
      <color theme="1"/>
      <name val="B Nazanin"/>
      <family val="2"/>
    </font>
    <font>
      <b/>
      <sz val="11"/>
      <color theme="1"/>
      <name val="B Zar"/>
      <charset val="178"/>
    </font>
    <font>
      <sz val="9.5"/>
      <name val="B Nazanin"/>
      <charset val="178"/>
    </font>
    <font>
      <b/>
      <sz val="11"/>
      <name val="B Zar"/>
      <charset val="178"/>
    </font>
  </fonts>
  <fills count="11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41" fontId="1" fillId="0" borderId="0" xfId="1" applyFont="1"/>
    <xf numFmtId="41" fontId="1" fillId="0" borderId="0" xfId="0" applyNumberFormat="1" applyFont="1"/>
    <xf numFmtId="41" fontId="1" fillId="0" borderId="1" xfId="1" applyFont="1" applyBorder="1" applyAlignment="1">
      <alignment horizontal="center"/>
    </xf>
    <xf numFmtId="9" fontId="1" fillId="0" borderId="1" xfId="0" applyNumberFormat="1" applyFont="1" applyBorder="1" applyAlignment="1">
      <alignment horizontal="center"/>
    </xf>
    <xf numFmtId="41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4" fillId="0" borderId="0" xfId="0" applyFont="1" applyAlignment="1">
      <alignment horizontal="center"/>
    </xf>
    <xf numFmtId="0" fontId="1" fillId="0" borderId="0" xfId="0" applyFont="1" applyAlignment="1">
      <alignment readingOrder="2"/>
    </xf>
    <xf numFmtId="0" fontId="1" fillId="0" borderId="0" xfId="0" applyFont="1" applyAlignment="1">
      <alignment horizontal="right" readingOrder="2"/>
    </xf>
    <xf numFmtId="41" fontId="1" fillId="0" borderId="1" xfId="1" applyFont="1" applyBorder="1"/>
    <xf numFmtId="41" fontId="1" fillId="0" borderId="1" xfId="0" applyNumberFormat="1" applyFont="1" applyBorder="1"/>
    <xf numFmtId="9" fontId="1" fillId="0" borderId="0" xfId="0" applyNumberFormat="1" applyFont="1"/>
    <xf numFmtId="43" fontId="1" fillId="0" borderId="0" xfId="0" applyNumberFormat="1" applyFont="1"/>
    <xf numFmtId="41" fontId="1" fillId="2" borderId="1" xfId="1" applyFont="1" applyFill="1" applyBorder="1" applyAlignment="1">
      <alignment horizontal="center"/>
    </xf>
    <xf numFmtId="0" fontId="1" fillId="2" borderId="0" xfId="0" applyFont="1" applyFill="1"/>
    <xf numFmtId="41" fontId="1" fillId="2" borderId="0" xfId="1" applyFont="1" applyFill="1"/>
    <xf numFmtId="41" fontId="4" fillId="2" borderId="1" xfId="1" applyFont="1" applyFill="1" applyBorder="1" applyAlignment="1">
      <alignment horizontal="center"/>
    </xf>
    <xf numFmtId="0" fontId="4" fillId="0" borderId="1" xfId="0" applyFont="1" applyBorder="1"/>
    <xf numFmtId="41" fontId="4" fillId="0" borderId="1" xfId="0" applyNumberFormat="1" applyFont="1" applyBorder="1"/>
    <xf numFmtId="9" fontId="1" fillId="0" borderId="0" xfId="0" applyNumberFormat="1" applyFont="1" applyAlignment="1">
      <alignment horizontal="center"/>
    </xf>
    <xf numFmtId="0" fontId="1" fillId="0" borderId="11" xfId="0" applyFont="1" applyBorder="1"/>
    <xf numFmtId="41" fontId="1" fillId="0" borderId="11" xfId="1" applyFont="1" applyBorder="1"/>
    <xf numFmtId="164" fontId="1" fillId="0" borderId="0" xfId="2" applyNumberFormat="1" applyFont="1"/>
    <xf numFmtId="0" fontId="1" fillId="0" borderId="0" xfId="0" applyFont="1" applyAlignment="1">
      <alignment horizontal="center" readingOrder="2"/>
    </xf>
    <xf numFmtId="0" fontId="4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1" xfId="0" applyFont="1" applyBorder="1" applyAlignment="1">
      <alignment horizontal="center"/>
    </xf>
    <xf numFmtId="0" fontId="1" fillId="0" borderId="20" xfId="0" applyFont="1" applyBorder="1"/>
    <xf numFmtId="0" fontId="1" fillId="0" borderId="21" xfId="0" applyFont="1" applyBorder="1"/>
    <xf numFmtId="0" fontId="1" fillId="0" borderId="17" xfId="0" applyFont="1" applyBorder="1"/>
    <xf numFmtId="0" fontId="1" fillId="0" borderId="22" xfId="0" applyFont="1" applyBorder="1"/>
    <xf numFmtId="0" fontId="1" fillId="0" borderId="18" xfId="0" applyFont="1" applyBorder="1"/>
    <xf numFmtId="0" fontId="1" fillId="0" borderId="19" xfId="0" applyFont="1" applyBorder="1"/>
    <xf numFmtId="0" fontId="1" fillId="3" borderId="0" xfId="0" applyFont="1" applyFill="1"/>
    <xf numFmtId="165" fontId="1" fillId="0" borderId="0" xfId="0" applyNumberFormat="1" applyFont="1"/>
    <xf numFmtId="165" fontId="1" fillId="0" borderId="1" xfId="0" applyNumberFormat="1" applyFont="1" applyBorder="1"/>
    <xf numFmtId="0" fontId="1" fillId="0" borderId="1" xfId="0" applyFont="1" applyBorder="1" applyAlignment="1">
      <alignment vertical="center"/>
    </xf>
    <xf numFmtId="43" fontId="1" fillId="0" borderId="1" xfId="0" applyNumberFormat="1" applyFont="1" applyBorder="1"/>
    <xf numFmtId="0" fontId="1" fillId="0" borderId="0" xfId="0" applyFont="1" applyAlignment="1">
      <alignment wrapText="1"/>
    </xf>
    <xf numFmtId="41" fontId="4" fillId="0" borderId="0" xfId="1" applyFont="1"/>
    <xf numFmtId="0" fontId="1" fillId="0" borderId="2" xfId="0" applyFon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10" fontId="1" fillId="0" borderId="0" xfId="2" applyNumberFormat="1" applyFont="1"/>
    <xf numFmtId="9" fontId="1" fillId="0" borderId="1" xfId="0" applyNumberFormat="1" applyFont="1" applyBorder="1"/>
    <xf numFmtId="0" fontId="1" fillId="0" borderId="25" xfId="0" applyFont="1" applyBorder="1"/>
    <xf numFmtId="0" fontId="1" fillId="0" borderId="26" xfId="0" applyFont="1" applyBorder="1"/>
    <xf numFmtId="41" fontId="1" fillId="0" borderId="13" xfId="0" applyNumberFormat="1" applyFont="1" applyBorder="1"/>
    <xf numFmtId="41" fontId="1" fillId="0" borderId="13" xfId="1" applyFont="1" applyBorder="1"/>
    <xf numFmtId="0" fontId="1" fillId="3" borderId="1" xfId="0" applyFont="1" applyFill="1" applyBorder="1"/>
    <xf numFmtId="41" fontId="1" fillId="3" borderId="1" xfId="1" applyFont="1" applyFill="1" applyBorder="1"/>
    <xf numFmtId="0" fontId="1" fillId="4" borderId="1" xfId="0" applyFont="1" applyFill="1" applyBorder="1"/>
    <xf numFmtId="41" fontId="1" fillId="4" borderId="1" xfId="1" applyFont="1" applyFill="1" applyBorder="1"/>
    <xf numFmtId="0" fontId="1" fillId="5" borderId="1" xfId="0" applyFont="1" applyFill="1" applyBorder="1"/>
    <xf numFmtId="41" fontId="1" fillId="5" borderId="1" xfId="1" applyFont="1" applyFill="1" applyBorder="1"/>
    <xf numFmtId="41" fontId="1" fillId="2" borderId="0" xfId="0" applyNumberFormat="1" applyFont="1" applyFill="1"/>
    <xf numFmtId="0" fontId="1" fillId="6" borderId="1" xfId="0" applyFont="1" applyFill="1" applyBorder="1" applyAlignment="1">
      <alignment horizontal="center"/>
    </xf>
    <xf numFmtId="0" fontId="5" fillId="0" borderId="0" xfId="0" applyFont="1" applyAlignment="1">
      <alignment horizontal="right" vertical="center" readingOrder="2"/>
    </xf>
    <xf numFmtId="0" fontId="1" fillId="7" borderId="1" xfId="0" applyFont="1" applyFill="1" applyBorder="1"/>
    <xf numFmtId="0" fontId="1" fillId="8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41" fontId="1" fillId="0" borderId="0" xfId="1" applyFont="1" applyAlignment="1">
      <alignment vertical="center"/>
    </xf>
    <xf numFmtId="0" fontId="1" fillId="6" borderId="1" xfId="0" applyFont="1" applyFill="1" applyBorder="1"/>
    <xf numFmtId="0" fontId="1" fillId="9" borderId="1" xfId="0" applyFont="1" applyFill="1" applyBorder="1"/>
    <xf numFmtId="0" fontId="1" fillId="10" borderId="1" xfId="0" applyFont="1" applyFill="1" applyBorder="1"/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41" fontId="1" fillId="2" borderId="1" xfId="1" applyFont="1" applyFill="1" applyBorder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41" fontId="1" fillId="2" borderId="1" xfId="1" applyFont="1" applyFill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1" fontId="1" fillId="0" borderId="1" xfId="1" applyFont="1" applyBorder="1" applyAlignment="1">
      <alignment horizontal="center"/>
    </xf>
    <xf numFmtId="41" fontId="4" fillId="2" borderId="1" xfId="1" applyFont="1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27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165" fontId="1" fillId="0" borderId="0" xfId="3" applyNumberFormat="1" applyFont="1"/>
    <xf numFmtId="165" fontId="1" fillId="0" borderId="1" xfId="3" applyNumberFormat="1" applyFont="1" applyBorder="1"/>
    <xf numFmtId="10" fontId="1" fillId="0" borderId="1" xfId="0" applyNumberFormat="1" applyFont="1" applyBorder="1"/>
    <xf numFmtId="0" fontId="6" fillId="2" borderId="1" xfId="0" applyFont="1" applyFill="1" applyBorder="1" applyAlignment="1">
      <alignment horizontal="center"/>
    </xf>
    <xf numFmtId="167" fontId="1" fillId="0" borderId="0" xfId="0" applyNumberFormat="1" applyFont="1"/>
    <xf numFmtId="0" fontId="4" fillId="0" borderId="1" xfId="0" applyFont="1" applyBorder="1" applyAlignment="1">
      <alignment horizontal="center"/>
    </xf>
  </cellXfs>
  <cellStyles count="4">
    <cellStyle name="Comma" xfId="3" builtinId="3"/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microsoft.com/office/2017/06/relationships/rdRichValue" Target="richData/rdrichvalue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22/10/relationships/richValueRel" Target="richData/richValueRel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28" Type="http://schemas.microsoft.com/office/2017/06/relationships/rdRichValueTypes" Target="richData/rdRichValueTyp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microsoft.com/office/2017/06/relationships/rdRichValueStructure" Target="richData/rdrichvaluestructure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'04'!$D$115</c:f>
              <c:strCache>
                <c:ptCount val="1"/>
                <c:pt idx="0">
                  <c:v>مبلغ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'04'!$C$116:$C$122</c:f>
              <c:numCache>
                <c:formatCode>General</c:formatCode>
                <c:ptCount val="7"/>
                <c:pt idx="0">
                  <c:v>1398</c:v>
                </c:pt>
                <c:pt idx="1">
                  <c:v>1399</c:v>
                </c:pt>
                <c:pt idx="2">
                  <c:v>1400</c:v>
                </c:pt>
                <c:pt idx="3">
                  <c:v>1401</c:v>
                </c:pt>
                <c:pt idx="4">
                  <c:v>1402</c:v>
                </c:pt>
                <c:pt idx="5">
                  <c:v>1403</c:v>
                </c:pt>
                <c:pt idx="6">
                  <c:v>1404</c:v>
                </c:pt>
              </c:numCache>
            </c:numRef>
          </c:xVal>
          <c:yVal>
            <c:numRef>
              <c:f>'04'!$D$116:$D$122</c:f>
              <c:numCache>
                <c:formatCode>General</c:formatCode>
                <c:ptCount val="7"/>
                <c:pt idx="0">
                  <c:v>100</c:v>
                </c:pt>
                <c:pt idx="1">
                  <c:v>110</c:v>
                </c:pt>
                <c:pt idx="2">
                  <c:v>90</c:v>
                </c:pt>
                <c:pt idx="3">
                  <c:v>105</c:v>
                </c:pt>
                <c:pt idx="4">
                  <c:v>1000</c:v>
                </c:pt>
                <c:pt idx="5">
                  <c:v>110</c:v>
                </c:pt>
                <c:pt idx="6">
                  <c:v>105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998-4CED-9913-3773074F5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1887888"/>
        <c:axId val="301862928"/>
      </c:scatterChart>
      <c:valAx>
        <c:axId val="301887888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1862928"/>
        <c:crosses val="autoZero"/>
        <c:crossBetween val="midCat"/>
      </c:valAx>
      <c:valAx>
        <c:axId val="30186292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18878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fa-IR"/>
              <a:t>قبل از بهره برداری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'13'!$D$80</c:f>
              <c:strCache>
                <c:ptCount val="1"/>
                <c:pt idx="0">
                  <c:v>بیست درصد ظرفیت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'13'!$C$81:$C$89</c:f>
              <c:numCache>
                <c:formatCode>General</c:formatCode>
                <c:ptCount val="9"/>
                <c:pt idx="0">
                  <c:v>1398</c:v>
                </c:pt>
                <c:pt idx="1">
                  <c:v>1399</c:v>
                </c:pt>
                <c:pt idx="2">
                  <c:v>1400</c:v>
                </c:pt>
                <c:pt idx="3">
                  <c:v>1401</c:v>
                </c:pt>
                <c:pt idx="4">
                  <c:v>1402</c:v>
                </c:pt>
                <c:pt idx="5">
                  <c:v>1403</c:v>
                </c:pt>
                <c:pt idx="6">
                  <c:v>1404</c:v>
                </c:pt>
                <c:pt idx="7">
                  <c:v>1405</c:v>
                </c:pt>
                <c:pt idx="8">
                  <c:v>1406</c:v>
                </c:pt>
              </c:numCache>
            </c:numRef>
          </c:cat>
          <c:val>
            <c:numRef>
              <c:f>'13'!$D$81:$D$89</c:f>
              <c:numCache>
                <c:formatCode>General</c:formatCode>
                <c:ptCount val="9"/>
                <c:pt idx="0">
                  <c:v>200</c:v>
                </c:pt>
                <c:pt idx="1">
                  <c:v>200</c:v>
                </c:pt>
                <c:pt idx="2">
                  <c:v>200</c:v>
                </c:pt>
                <c:pt idx="3">
                  <c:v>200</c:v>
                </c:pt>
                <c:pt idx="4">
                  <c:v>200</c:v>
                </c:pt>
                <c:pt idx="5">
                  <c:v>200</c:v>
                </c:pt>
                <c:pt idx="6">
                  <c:v>200</c:v>
                </c:pt>
                <c:pt idx="7">
                  <c:v>200</c:v>
                </c:pt>
                <c:pt idx="8">
                  <c:v>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60-4AC8-BA82-AFD009740D99}"/>
            </c:ext>
          </c:extLst>
        </c:ser>
        <c:ser>
          <c:idx val="1"/>
          <c:order val="1"/>
          <c:tx>
            <c:strRef>
              <c:f>'13'!$E$80</c:f>
              <c:strCache>
                <c:ptCount val="1"/>
                <c:pt idx="0">
                  <c:v>فروش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'13'!$C$81:$C$89</c:f>
              <c:numCache>
                <c:formatCode>General</c:formatCode>
                <c:ptCount val="9"/>
                <c:pt idx="0">
                  <c:v>1398</c:v>
                </c:pt>
                <c:pt idx="1">
                  <c:v>1399</c:v>
                </c:pt>
                <c:pt idx="2">
                  <c:v>1400</c:v>
                </c:pt>
                <c:pt idx="3">
                  <c:v>1401</c:v>
                </c:pt>
                <c:pt idx="4">
                  <c:v>1402</c:v>
                </c:pt>
                <c:pt idx="5">
                  <c:v>1403</c:v>
                </c:pt>
                <c:pt idx="6">
                  <c:v>1404</c:v>
                </c:pt>
                <c:pt idx="7">
                  <c:v>1405</c:v>
                </c:pt>
                <c:pt idx="8">
                  <c:v>1406</c:v>
                </c:pt>
              </c:numCache>
            </c:numRef>
          </c:cat>
          <c:val>
            <c:numRef>
              <c:f>'13'!$E$81:$E$89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160</c:v>
                </c:pt>
                <c:pt idx="3">
                  <c:v>140</c:v>
                </c:pt>
                <c:pt idx="4">
                  <c:v>250</c:v>
                </c:pt>
                <c:pt idx="5">
                  <c:v>190</c:v>
                </c:pt>
                <c:pt idx="6">
                  <c:v>180</c:v>
                </c:pt>
                <c:pt idx="7">
                  <c:v>170</c:v>
                </c:pt>
                <c:pt idx="8">
                  <c:v>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60-4AC8-BA82-AFD009740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7278879"/>
        <c:axId val="347281759"/>
      </c:lineChart>
      <c:catAx>
        <c:axId val="347278879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7281759"/>
        <c:crosses val="autoZero"/>
        <c:auto val="1"/>
        <c:lblAlgn val="ctr"/>
        <c:lblOffset val="100"/>
        <c:noMultiLvlLbl val="0"/>
      </c:catAx>
      <c:valAx>
        <c:axId val="347281759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7278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26458</xdr:colOff>
      <xdr:row>24</xdr:row>
      <xdr:rowOff>10584</xdr:rowOff>
    </xdr:from>
    <xdr:to>
      <xdr:col>6</xdr:col>
      <xdr:colOff>52917</xdr:colOff>
      <xdr:row>27</xdr:row>
      <xdr:rowOff>105834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FA2566DD-4C04-05C6-F549-1BB118345104}"/>
            </a:ext>
          </a:extLst>
        </xdr:cNvPr>
        <xdr:cNvCxnSpPr/>
      </xdr:nvCxnSpPr>
      <xdr:spPr>
        <a:xfrm flipV="1">
          <a:off x="11267053708" y="6037792"/>
          <a:ext cx="989542" cy="8413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68791</xdr:colOff>
      <xdr:row>27</xdr:row>
      <xdr:rowOff>116417</xdr:rowOff>
    </xdr:from>
    <xdr:to>
      <xdr:col>6</xdr:col>
      <xdr:colOff>31750</xdr:colOff>
      <xdr:row>29</xdr:row>
      <xdr:rowOff>195792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281E8020-327D-2C42-7C33-A83A8E1A13BF}"/>
            </a:ext>
          </a:extLst>
        </xdr:cNvPr>
        <xdr:cNvCxnSpPr/>
      </xdr:nvCxnSpPr>
      <xdr:spPr>
        <a:xfrm>
          <a:off x="11267074875" y="6889750"/>
          <a:ext cx="926042" cy="576792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920750</xdr:colOff>
      <xdr:row>101</xdr:row>
      <xdr:rowOff>222250</xdr:rowOff>
    </xdr:from>
    <xdr:to>
      <xdr:col>3</xdr:col>
      <xdr:colOff>264584</xdr:colOff>
      <xdr:row>103</xdr:row>
      <xdr:rowOff>185209</xdr:rowOff>
    </xdr:to>
    <xdr:sp macro="" textlink="$F$104">
      <xdr:nvSpPr>
        <xdr:cNvPr id="2" name="Rectangle 1">
          <a:extLst>
            <a:ext uri="{FF2B5EF4-FFF2-40B4-BE49-F238E27FC236}">
              <a16:creationId xmlns:a16="http://schemas.microsoft.com/office/drawing/2014/main" id="{58711192-FBA7-9C84-52D3-5A8AB7D01628}"/>
            </a:ext>
          </a:extLst>
        </xdr:cNvPr>
        <xdr:cNvSpPr/>
      </xdr:nvSpPr>
      <xdr:spPr>
        <a:xfrm>
          <a:off x="11270831958" y="25452917"/>
          <a:ext cx="915459" cy="4603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fld id="{F7554A33-7EC4-4A71-A57D-C045C9755D54}" type="TxLink">
            <a:rPr lang="ar-SA" sz="1100" b="0" i="0" u="none" strike="noStrike">
              <a:solidFill>
                <a:srgbClr val="000000"/>
              </a:solidFill>
              <a:cs typeface="B Zar"/>
            </a:rPr>
            <a:pPr algn="r" rtl="1"/>
            <a:t>شرکت اصلی</a:t>
          </a:fld>
          <a:endParaRPr lang="en-US" sz="1100"/>
        </a:p>
      </xdr:txBody>
    </xdr:sp>
    <xdr:clientData/>
  </xdr:twoCellAnchor>
  <xdr:twoCellAnchor>
    <xdr:from>
      <xdr:col>4</xdr:col>
      <xdr:colOff>0</xdr:colOff>
      <xdr:row>105</xdr:row>
      <xdr:rowOff>0</xdr:rowOff>
    </xdr:from>
    <xdr:to>
      <xdr:col>4</xdr:col>
      <xdr:colOff>1095375</xdr:colOff>
      <xdr:row>106</xdr:row>
      <xdr:rowOff>211667</xdr:rowOff>
    </xdr:to>
    <xdr:sp macro="" textlink="$F$105">
      <xdr:nvSpPr>
        <xdr:cNvPr id="3" name="Rectangle 2">
          <a:extLst>
            <a:ext uri="{FF2B5EF4-FFF2-40B4-BE49-F238E27FC236}">
              <a16:creationId xmlns:a16="http://schemas.microsoft.com/office/drawing/2014/main" id="{14934B87-0811-46A2-8337-059B4BEE8696}"/>
            </a:ext>
          </a:extLst>
        </xdr:cNvPr>
        <xdr:cNvSpPr/>
      </xdr:nvSpPr>
      <xdr:spPr>
        <a:xfrm>
          <a:off x="11268831708" y="26225500"/>
          <a:ext cx="1095375" cy="4603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fld id="{23C02E05-482D-4298-964F-D3E28BAD2049}" type="TxLink">
            <a:rPr lang="ar-SA" sz="1100" b="0" i="0" u="none" strike="noStrike">
              <a:solidFill>
                <a:srgbClr val="000000"/>
              </a:solidFill>
              <a:cs typeface="B Zar"/>
            </a:rPr>
            <a:pPr algn="r" rtl="1"/>
            <a:t>شرکت فرعی1</a:t>
          </a:fld>
          <a:endParaRPr lang="en-US" sz="1100"/>
        </a:p>
      </xdr:txBody>
    </xdr:sp>
    <xdr:clientData/>
  </xdr:twoCellAnchor>
  <xdr:twoCellAnchor>
    <xdr:from>
      <xdr:col>3</xdr:col>
      <xdr:colOff>264584</xdr:colOff>
      <xdr:row>102</xdr:row>
      <xdr:rowOff>203730</xdr:rowOff>
    </xdr:from>
    <xdr:to>
      <xdr:col>4</xdr:col>
      <xdr:colOff>547687</xdr:colOff>
      <xdr:row>105</xdr:row>
      <xdr:rowOff>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12B3D896-46BD-A42F-F879-BB0BC1DCC236}"/>
            </a:ext>
          </a:extLst>
        </xdr:cNvPr>
        <xdr:cNvCxnSpPr>
          <a:stCxn id="2" idx="1"/>
          <a:endCxn id="3" idx="0"/>
        </xdr:cNvCxnSpPr>
      </xdr:nvCxnSpPr>
      <xdr:spPr>
        <a:xfrm flipH="1">
          <a:off x="11269379396" y="25683105"/>
          <a:ext cx="1452562" cy="54239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63500</xdr:colOff>
      <xdr:row>109</xdr:row>
      <xdr:rowOff>52917</xdr:rowOff>
    </xdr:from>
    <xdr:to>
      <xdr:col>4</xdr:col>
      <xdr:colOff>1158875</xdr:colOff>
      <xdr:row>111</xdr:row>
      <xdr:rowOff>15875</xdr:rowOff>
    </xdr:to>
    <xdr:sp macro="" textlink="$F$106">
      <xdr:nvSpPr>
        <xdr:cNvPr id="6" name="Rectangle 5">
          <a:extLst>
            <a:ext uri="{FF2B5EF4-FFF2-40B4-BE49-F238E27FC236}">
              <a16:creationId xmlns:a16="http://schemas.microsoft.com/office/drawing/2014/main" id="{516C049D-635B-46D0-A1BD-35A452FF84E9}"/>
            </a:ext>
          </a:extLst>
        </xdr:cNvPr>
        <xdr:cNvSpPr/>
      </xdr:nvSpPr>
      <xdr:spPr>
        <a:xfrm>
          <a:off x="11268768208" y="27273250"/>
          <a:ext cx="1095375" cy="4603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fld id="{97B9EFDF-C470-45C0-B3A0-396B728D9D2F}" type="TxLink">
            <a:rPr lang="ar-SA" sz="1100" b="0" i="0" u="none" strike="noStrike">
              <a:solidFill>
                <a:srgbClr val="000000"/>
              </a:solidFill>
              <a:cs typeface="B Zar"/>
            </a:rPr>
            <a:pPr algn="r" rtl="1"/>
            <a:t>شرکت فرعی 2</a:t>
          </a:fld>
          <a:endParaRPr lang="en-US" sz="1100"/>
        </a:p>
      </xdr:txBody>
    </xdr:sp>
    <xdr:clientData/>
  </xdr:twoCellAnchor>
  <xdr:twoCellAnchor>
    <xdr:from>
      <xdr:col>4</xdr:col>
      <xdr:colOff>547687</xdr:colOff>
      <xdr:row>106</xdr:row>
      <xdr:rowOff>211667</xdr:rowOff>
    </xdr:from>
    <xdr:to>
      <xdr:col>4</xdr:col>
      <xdr:colOff>611187</xdr:colOff>
      <xdr:row>109</xdr:row>
      <xdr:rowOff>52917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E86A84C0-B22F-789A-D07D-7239FDC2CC07}"/>
            </a:ext>
          </a:extLst>
        </xdr:cNvPr>
        <xdr:cNvCxnSpPr>
          <a:stCxn id="3" idx="2"/>
          <a:endCxn id="6" idx="0"/>
        </xdr:cNvCxnSpPr>
      </xdr:nvCxnSpPr>
      <xdr:spPr>
        <a:xfrm flipH="1">
          <a:off x="11269315896" y="26685875"/>
          <a:ext cx="63500" cy="5873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105</xdr:row>
      <xdr:rowOff>0</xdr:rowOff>
    </xdr:from>
    <xdr:to>
      <xdr:col>2</xdr:col>
      <xdr:colOff>407459</xdr:colOff>
      <xdr:row>106</xdr:row>
      <xdr:rowOff>211667</xdr:rowOff>
    </xdr:to>
    <xdr:sp macro="" textlink="$F$107">
      <xdr:nvSpPr>
        <xdr:cNvPr id="11" name="Rectangle 10">
          <a:extLst>
            <a:ext uri="{FF2B5EF4-FFF2-40B4-BE49-F238E27FC236}">
              <a16:creationId xmlns:a16="http://schemas.microsoft.com/office/drawing/2014/main" id="{A8622A63-8C5A-4ACE-B459-5A362F854B6E}"/>
            </a:ext>
          </a:extLst>
        </xdr:cNvPr>
        <xdr:cNvSpPr/>
      </xdr:nvSpPr>
      <xdr:spPr>
        <a:xfrm>
          <a:off x="11272260708" y="26225500"/>
          <a:ext cx="1095375" cy="4603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fld id="{604EAC0D-5A94-495A-B40C-C183C3344B96}" type="TxLink">
            <a:rPr lang="ar-SA" sz="1100" b="0" i="0" u="none" strike="noStrike">
              <a:solidFill>
                <a:srgbClr val="000000"/>
              </a:solidFill>
              <a:cs typeface="B Zar"/>
            </a:rPr>
            <a:pPr algn="r" rtl="1"/>
            <a:t>شرکت فرعی 3</a:t>
          </a:fld>
          <a:endParaRPr lang="en-US" sz="1100"/>
        </a:p>
      </xdr:txBody>
    </xdr:sp>
    <xdr:clientData/>
  </xdr:twoCellAnchor>
  <xdr:twoCellAnchor>
    <xdr:from>
      <xdr:col>1</xdr:col>
      <xdr:colOff>547687</xdr:colOff>
      <xdr:row>102</xdr:row>
      <xdr:rowOff>203730</xdr:rowOff>
    </xdr:from>
    <xdr:to>
      <xdr:col>2</xdr:col>
      <xdr:colOff>920750</xdr:colOff>
      <xdr:row>105</xdr:row>
      <xdr:rowOff>0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5C69F5D8-0591-C016-05AA-8A060D2B2A0F}"/>
            </a:ext>
          </a:extLst>
        </xdr:cNvPr>
        <xdr:cNvCxnSpPr>
          <a:stCxn id="2" idx="3"/>
          <a:endCxn id="11" idx="0"/>
        </xdr:cNvCxnSpPr>
      </xdr:nvCxnSpPr>
      <xdr:spPr>
        <a:xfrm>
          <a:off x="11271747417" y="25683105"/>
          <a:ext cx="1060979" cy="54239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407459</xdr:colOff>
      <xdr:row>105</xdr:row>
      <xdr:rowOff>230188</xdr:rowOff>
    </xdr:from>
    <xdr:to>
      <xdr:col>4</xdr:col>
      <xdr:colOff>0</xdr:colOff>
      <xdr:row>105</xdr:row>
      <xdr:rowOff>242888</xdr:rowOff>
    </xdr:to>
    <xdr:cxnSp macro="">
      <xdr:nvCxnSpPr>
        <xdr:cNvPr id="15" name="Connector: Elbow 14">
          <a:extLst>
            <a:ext uri="{FF2B5EF4-FFF2-40B4-BE49-F238E27FC236}">
              <a16:creationId xmlns:a16="http://schemas.microsoft.com/office/drawing/2014/main" id="{BFB57953-76DF-B745-A42A-8CF7EC9D3370}"/>
            </a:ext>
          </a:extLst>
        </xdr:cNvPr>
        <xdr:cNvCxnSpPr>
          <a:stCxn id="3" idx="3"/>
          <a:endCxn id="11" idx="1"/>
        </xdr:cNvCxnSpPr>
      </xdr:nvCxnSpPr>
      <xdr:spPr>
        <a:xfrm>
          <a:off x="11269927083" y="26455688"/>
          <a:ext cx="2333625" cy="12700"/>
        </a:xfrm>
        <a:prstGeom prst="bentConnector3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809625</xdr:colOff>
      <xdr:row>108</xdr:row>
      <xdr:rowOff>148167</xdr:rowOff>
    </xdr:from>
    <xdr:to>
      <xdr:col>3</xdr:col>
      <xdr:colOff>333375</xdr:colOff>
      <xdr:row>110</xdr:row>
      <xdr:rowOff>111125</xdr:rowOff>
    </xdr:to>
    <xdr:sp macro="" textlink="$F$108">
      <xdr:nvSpPr>
        <xdr:cNvPr id="16" name="Rectangle 15">
          <a:extLst>
            <a:ext uri="{FF2B5EF4-FFF2-40B4-BE49-F238E27FC236}">
              <a16:creationId xmlns:a16="http://schemas.microsoft.com/office/drawing/2014/main" id="{8E0C0A3B-A9DF-467B-BFEB-53760E834AFB}"/>
            </a:ext>
          </a:extLst>
        </xdr:cNvPr>
        <xdr:cNvSpPr/>
      </xdr:nvSpPr>
      <xdr:spPr>
        <a:xfrm>
          <a:off x="11270763167" y="27119792"/>
          <a:ext cx="1095375" cy="4603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fld id="{42244311-5B1B-425A-85B9-3788E9DE6095}" type="TxLink">
            <a:rPr lang="ar-SA" sz="1100" b="0" i="0" u="none" strike="noStrike">
              <a:solidFill>
                <a:srgbClr val="000000"/>
              </a:solidFill>
              <a:cs typeface="B Zar"/>
            </a:rPr>
            <a:pPr algn="r" rtl="1"/>
            <a:t>شرکت وابسته</a:t>
          </a:fld>
          <a:endParaRPr lang="en-US" sz="1100"/>
        </a:p>
      </xdr:txBody>
    </xdr:sp>
    <xdr:clientData/>
  </xdr:twoCellAnchor>
  <xdr:twoCellAnchor>
    <xdr:from>
      <xdr:col>2</xdr:col>
      <xdr:colOff>1357312</xdr:colOff>
      <xdr:row>103</xdr:row>
      <xdr:rowOff>185209</xdr:rowOff>
    </xdr:from>
    <xdr:to>
      <xdr:col>2</xdr:col>
      <xdr:colOff>1378479</xdr:colOff>
      <xdr:row>108</xdr:row>
      <xdr:rowOff>148167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C99A3EB9-6585-7328-9A62-D125A90D57D9}"/>
            </a:ext>
          </a:extLst>
        </xdr:cNvPr>
        <xdr:cNvCxnSpPr>
          <a:stCxn id="2" idx="2"/>
          <a:endCxn id="16" idx="0"/>
        </xdr:cNvCxnSpPr>
      </xdr:nvCxnSpPr>
      <xdr:spPr>
        <a:xfrm>
          <a:off x="11271289688" y="25913292"/>
          <a:ext cx="21167" cy="12065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492126</xdr:colOff>
      <xdr:row>69</xdr:row>
      <xdr:rowOff>121708</xdr:rowOff>
    </xdr:from>
    <xdr:to>
      <xdr:col>3</xdr:col>
      <xdr:colOff>1280584</xdr:colOff>
      <xdr:row>69</xdr:row>
      <xdr:rowOff>148166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3F72563E-319E-B823-C9C4-E80947B9F0E0}"/>
            </a:ext>
          </a:extLst>
        </xdr:cNvPr>
        <xdr:cNvCxnSpPr/>
      </xdr:nvCxnSpPr>
      <xdr:spPr>
        <a:xfrm flipH="1" flipV="1">
          <a:off x="11269445541" y="17361958"/>
          <a:ext cx="2227792" cy="26458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433917</xdr:colOff>
      <xdr:row>69</xdr:row>
      <xdr:rowOff>174625</xdr:rowOff>
    </xdr:from>
    <xdr:to>
      <xdr:col>3</xdr:col>
      <xdr:colOff>1317625</xdr:colOff>
      <xdr:row>70</xdr:row>
      <xdr:rowOff>116417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D0EA999-435A-BDF1-6EC6-C7D162D595B0}"/>
            </a:ext>
          </a:extLst>
        </xdr:cNvPr>
        <xdr:cNvCxnSpPr/>
      </xdr:nvCxnSpPr>
      <xdr:spPr>
        <a:xfrm flipH="1" flipV="1">
          <a:off x="11269408500" y="17414875"/>
          <a:ext cx="2323042" cy="1905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656167</xdr:colOff>
      <xdr:row>111</xdr:row>
      <xdr:rowOff>190499</xdr:rowOff>
    </xdr:from>
    <xdr:to>
      <xdr:col>8</xdr:col>
      <xdr:colOff>44979</xdr:colOff>
      <xdr:row>118</xdr:row>
      <xdr:rowOff>159808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E44CB71C-CF25-5850-B397-9919DF51D8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1407584</xdr:colOff>
      <xdr:row>10</xdr:row>
      <xdr:rowOff>89958</xdr:rowOff>
    </xdr:from>
    <xdr:to>
      <xdr:col>3</xdr:col>
      <xdr:colOff>629709</xdr:colOff>
      <xdr:row>12</xdr:row>
      <xdr:rowOff>15875</xdr:rowOff>
    </xdr:to>
    <xdr:sp macro="" textlink="$F$10">
      <xdr:nvSpPr>
        <xdr:cNvPr id="2" name="Rectangle 1">
          <a:extLst>
            <a:ext uri="{FF2B5EF4-FFF2-40B4-BE49-F238E27FC236}">
              <a16:creationId xmlns:a16="http://schemas.microsoft.com/office/drawing/2014/main" id="{B1BBC144-2CEE-E9E7-EE4D-78AC0557ECE6}"/>
            </a:ext>
          </a:extLst>
        </xdr:cNvPr>
        <xdr:cNvSpPr/>
      </xdr:nvSpPr>
      <xdr:spPr>
        <a:xfrm>
          <a:off x="11270980125" y="2635250"/>
          <a:ext cx="793750" cy="42333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fld id="{2EC835F7-7899-4165-A167-7762A1DFEB25}" type="TxLink">
            <a:rPr lang="ar-SA" sz="1100" b="0" i="0" u="none" strike="noStrike">
              <a:solidFill>
                <a:srgbClr val="000000"/>
              </a:solidFill>
              <a:cs typeface="B Zar"/>
            </a:rPr>
            <a:pPr algn="r" rtl="1"/>
            <a:t>نقد</a:t>
          </a:fld>
          <a:endParaRPr lang="en-US" sz="1100"/>
        </a:p>
      </xdr:txBody>
    </xdr:sp>
    <xdr:clientData/>
  </xdr:twoCellAnchor>
  <xdr:twoCellAnchor>
    <xdr:from>
      <xdr:col>1</xdr:col>
      <xdr:colOff>687916</xdr:colOff>
      <xdr:row>13</xdr:row>
      <xdr:rowOff>0</xdr:rowOff>
    </xdr:from>
    <xdr:to>
      <xdr:col>2</xdr:col>
      <xdr:colOff>793750</xdr:colOff>
      <xdr:row>14</xdr:row>
      <xdr:rowOff>174625</xdr:rowOff>
    </xdr:to>
    <xdr:sp macro="" textlink="$F$11">
      <xdr:nvSpPr>
        <xdr:cNvPr id="3" name="Rectangle 2">
          <a:extLst>
            <a:ext uri="{FF2B5EF4-FFF2-40B4-BE49-F238E27FC236}">
              <a16:creationId xmlns:a16="http://schemas.microsoft.com/office/drawing/2014/main" id="{49E64FAD-A009-4EA8-8007-395694998AA2}"/>
            </a:ext>
          </a:extLst>
        </xdr:cNvPr>
        <xdr:cNvSpPr/>
      </xdr:nvSpPr>
      <xdr:spPr>
        <a:xfrm>
          <a:off x="11272387709" y="3291417"/>
          <a:ext cx="793750" cy="42333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fld id="{B665AB32-3A85-4F70-9B66-D3035AF9F0F1}" type="TxLink">
            <a:rPr lang="ar-SA" sz="1100" b="0" i="0" u="none" strike="noStrike">
              <a:solidFill>
                <a:srgbClr val="000000"/>
              </a:solidFill>
              <a:cs typeface="B Zar"/>
            </a:rPr>
            <a:pPr algn="r" rtl="1"/>
            <a:t>موجودی مواد</a:t>
          </a:fld>
          <a:endParaRPr lang="en-US" sz="1100"/>
        </a:p>
      </xdr:txBody>
    </xdr:sp>
    <xdr:clientData/>
  </xdr:twoCellAnchor>
  <xdr:twoCellAnchor>
    <xdr:from>
      <xdr:col>1</xdr:col>
      <xdr:colOff>687916</xdr:colOff>
      <xdr:row>16</xdr:row>
      <xdr:rowOff>0</xdr:rowOff>
    </xdr:from>
    <xdr:to>
      <xdr:col>2</xdr:col>
      <xdr:colOff>793750</xdr:colOff>
      <xdr:row>17</xdr:row>
      <xdr:rowOff>174625</xdr:rowOff>
    </xdr:to>
    <xdr:sp macro="" textlink="$F$12">
      <xdr:nvSpPr>
        <xdr:cNvPr id="4" name="Rectangle 3">
          <a:extLst>
            <a:ext uri="{FF2B5EF4-FFF2-40B4-BE49-F238E27FC236}">
              <a16:creationId xmlns:a16="http://schemas.microsoft.com/office/drawing/2014/main" id="{E6E62776-30B8-40CB-B724-F07569EEDFAE}"/>
            </a:ext>
          </a:extLst>
        </xdr:cNvPr>
        <xdr:cNvSpPr/>
      </xdr:nvSpPr>
      <xdr:spPr>
        <a:xfrm>
          <a:off x="11272387709" y="4037542"/>
          <a:ext cx="793750" cy="42333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fld id="{F36F306C-FE3A-4E6A-839D-963D8CA72187}" type="TxLink">
            <a:rPr lang="ar-SA" sz="1100" b="0" i="0" u="none" strike="noStrike">
              <a:solidFill>
                <a:srgbClr val="000000"/>
              </a:solidFill>
              <a:cs typeface="B Zar"/>
            </a:rPr>
            <a:pPr algn="r" rtl="1"/>
            <a:t>تولید</a:t>
          </a:fld>
          <a:endParaRPr lang="en-US" sz="1100"/>
        </a:p>
      </xdr:txBody>
    </xdr:sp>
    <xdr:clientData/>
  </xdr:twoCellAnchor>
  <xdr:twoCellAnchor>
    <xdr:from>
      <xdr:col>4</xdr:col>
      <xdr:colOff>5292</xdr:colOff>
      <xdr:row>16</xdr:row>
      <xdr:rowOff>26458</xdr:rowOff>
    </xdr:from>
    <xdr:to>
      <xdr:col>4</xdr:col>
      <xdr:colOff>957792</xdr:colOff>
      <xdr:row>17</xdr:row>
      <xdr:rowOff>201083</xdr:rowOff>
    </xdr:to>
    <xdr:sp macro="" textlink="$F$13">
      <xdr:nvSpPr>
        <xdr:cNvPr id="5" name="Rectangle 4">
          <a:extLst>
            <a:ext uri="{FF2B5EF4-FFF2-40B4-BE49-F238E27FC236}">
              <a16:creationId xmlns:a16="http://schemas.microsoft.com/office/drawing/2014/main" id="{7378BBA2-D926-42B1-9E93-F89EF0130127}"/>
            </a:ext>
          </a:extLst>
        </xdr:cNvPr>
        <xdr:cNvSpPr/>
      </xdr:nvSpPr>
      <xdr:spPr>
        <a:xfrm>
          <a:off x="11269482583" y="4064000"/>
          <a:ext cx="952500" cy="42333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fld id="{47C91D11-C50D-4543-BFFC-9D2D2B468170}" type="TxLink">
            <a:rPr lang="ar-SA" sz="1100" b="0" i="0" u="none" strike="noStrike">
              <a:solidFill>
                <a:srgbClr val="000000"/>
              </a:solidFill>
              <a:cs typeface="B Zar"/>
            </a:rPr>
            <a:pPr algn="r" rtl="1"/>
            <a:t>فروش</a:t>
          </a:fld>
          <a:endParaRPr lang="en-US" sz="1100"/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963083</xdr:colOff>
      <xdr:row>14</xdr:row>
      <xdr:rowOff>174625</xdr:rowOff>
    </xdr:to>
    <xdr:sp macro="" textlink="$F$14">
      <xdr:nvSpPr>
        <xdr:cNvPr id="6" name="Rectangle 5">
          <a:extLst>
            <a:ext uri="{FF2B5EF4-FFF2-40B4-BE49-F238E27FC236}">
              <a16:creationId xmlns:a16="http://schemas.microsoft.com/office/drawing/2014/main" id="{774BB9FA-CC84-47C2-88C4-212DD184B9F3}"/>
            </a:ext>
          </a:extLst>
        </xdr:cNvPr>
        <xdr:cNvSpPr/>
      </xdr:nvSpPr>
      <xdr:spPr>
        <a:xfrm>
          <a:off x="11269477292" y="3291417"/>
          <a:ext cx="963083" cy="42333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fld id="{704CE6FA-9A55-49EB-BB2F-6DD0454D4C8B}" type="TxLink">
            <a:rPr lang="ar-SA" sz="1100" b="0" i="0" u="none" strike="noStrike">
              <a:solidFill>
                <a:srgbClr val="000000"/>
              </a:solidFill>
              <a:cs typeface="B Zar"/>
            </a:rPr>
            <a:pPr algn="r" rtl="1"/>
            <a:t>حساب دریافتنی</a:t>
          </a:fld>
          <a:endParaRPr lang="en-US" sz="1100"/>
        </a:p>
      </xdr:txBody>
    </xdr:sp>
    <xdr:clientData/>
  </xdr:twoCellAnchor>
  <xdr:twoCellAnchor>
    <xdr:from>
      <xdr:col>2</xdr:col>
      <xdr:colOff>396875</xdr:colOff>
      <xdr:row>11</xdr:row>
      <xdr:rowOff>52917</xdr:rowOff>
    </xdr:from>
    <xdr:to>
      <xdr:col>2</xdr:col>
      <xdr:colOff>1407584</xdr:colOff>
      <xdr:row>13</xdr:row>
      <xdr:rowOff>0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6854E3ED-5AD0-E14A-9AAF-7A85A9C7902F}"/>
            </a:ext>
          </a:extLst>
        </xdr:cNvPr>
        <xdr:cNvCxnSpPr>
          <a:stCxn id="2" idx="3"/>
          <a:endCxn id="3" idx="0"/>
        </xdr:cNvCxnSpPr>
      </xdr:nvCxnSpPr>
      <xdr:spPr>
        <a:xfrm>
          <a:off x="11271773875" y="2846917"/>
          <a:ext cx="1010709" cy="4445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396875</xdr:colOff>
      <xdr:row>14</xdr:row>
      <xdr:rowOff>174625</xdr:rowOff>
    </xdr:from>
    <xdr:to>
      <xdr:col>2</xdr:col>
      <xdr:colOff>396875</xdr:colOff>
      <xdr:row>16</xdr:row>
      <xdr:rowOff>0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4D210209-3895-BAB8-1ADA-1C9212D03C7A}"/>
            </a:ext>
          </a:extLst>
        </xdr:cNvPr>
        <xdr:cNvCxnSpPr>
          <a:stCxn id="3" idx="2"/>
          <a:endCxn id="4" idx="0"/>
        </xdr:cNvCxnSpPr>
      </xdr:nvCxnSpPr>
      <xdr:spPr>
        <a:xfrm>
          <a:off x="11272784584" y="3714750"/>
          <a:ext cx="0" cy="322792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793750</xdr:colOff>
      <xdr:row>16</xdr:row>
      <xdr:rowOff>211667</xdr:rowOff>
    </xdr:from>
    <xdr:to>
      <xdr:col>4</xdr:col>
      <xdr:colOff>5292</xdr:colOff>
      <xdr:row>16</xdr:row>
      <xdr:rowOff>238125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37D6CB15-2FC1-3B80-8F63-D1A19F1C1D4E}"/>
            </a:ext>
          </a:extLst>
        </xdr:cNvPr>
        <xdr:cNvCxnSpPr>
          <a:stCxn id="4" idx="1"/>
          <a:endCxn id="5" idx="3"/>
        </xdr:cNvCxnSpPr>
      </xdr:nvCxnSpPr>
      <xdr:spPr>
        <a:xfrm flipH="1">
          <a:off x="11270435083" y="4249209"/>
          <a:ext cx="1952626" cy="26458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481541</xdr:colOff>
      <xdr:row>14</xdr:row>
      <xdr:rowOff>174625</xdr:rowOff>
    </xdr:from>
    <xdr:to>
      <xdr:col>4</xdr:col>
      <xdr:colOff>481542</xdr:colOff>
      <xdr:row>16</xdr:row>
      <xdr:rowOff>26458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5C705622-8D56-A35B-505B-C62297195874}"/>
            </a:ext>
          </a:extLst>
        </xdr:cNvPr>
        <xdr:cNvCxnSpPr>
          <a:stCxn id="5" idx="0"/>
          <a:endCxn id="6" idx="2"/>
        </xdr:cNvCxnSpPr>
      </xdr:nvCxnSpPr>
      <xdr:spPr>
        <a:xfrm flipV="1">
          <a:off x="11269958833" y="3714750"/>
          <a:ext cx="1" cy="3492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629709</xdr:colOff>
      <xdr:row>11</xdr:row>
      <xdr:rowOff>52917</xdr:rowOff>
    </xdr:from>
    <xdr:to>
      <xdr:col>4</xdr:col>
      <xdr:colOff>481541</xdr:colOff>
      <xdr:row>13</xdr:row>
      <xdr:rowOff>0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1C9B014F-6A07-FA3F-FD14-51C42F22BF45}"/>
            </a:ext>
          </a:extLst>
        </xdr:cNvPr>
        <xdr:cNvCxnSpPr>
          <a:stCxn id="6" idx="0"/>
          <a:endCxn id="2" idx="1"/>
        </xdr:cNvCxnSpPr>
      </xdr:nvCxnSpPr>
      <xdr:spPr>
        <a:xfrm flipV="1">
          <a:off x="11269958834" y="2846917"/>
          <a:ext cx="1021291" cy="4445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407459</xdr:colOff>
      <xdr:row>87</xdr:row>
      <xdr:rowOff>121709</xdr:rowOff>
    </xdr:from>
    <xdr:to>
      <xdr:col>4</xdr:col>
      <xdr:colOff>31750</xdr:colOff>
      <xdr:row>89</xdr:row>
      <xdr:rowOff>153458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32DC21E2-AF61-F581-ABBF-1DD88AE0BD6F}"/>
            </a:ext>
          </a:extLst>
        </xdr:cNvPr>
        <xdr:cNvCxnSpPr/>
      </xdr:nvCxnSpPr>
      <xdr:spPr>
        <a:xfrm flipH="1">
          <a:off x="11270408625" y="21817542"/>
          <a:ext cx="3042708" cy="529166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1338792</xdr:colOff>
      <xdr:row>87</xdr:row>
      <xdr:rowOff>137584</xdr:rowOff>
    </xdr:from>
    <xdr:to>
      <xdr:col>4</xdr:col>
      <xdr:colOff>74083</xdr:colOff>
      <xdr:row>90</xdr:row>
      <xdr:rowOff>211667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E17F9E9F-F30A-4B6A-BEC5-EE5E87CCF900}"/>
            </a:ext>
          </a:extLst>
        </xdr:cNvPr>
        <xdr:cNvCxnSpPr/>
      </xdr:nvCxnSpPr>
      <xdr:spPr>
        <a:xfrm flipH="1">
          <a:off x="11270366292" y="21833417"/>
          <a:ext cx="2153708" cy="820208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1190625</xdr:colOff>
      <xdr:row>86</xdr:row>
      <xdr:rowOff>158750</xdr:rowOff>
    </xdr:from>
    <xdr:to>
      <xdr:col>4</xdr:col>
      <xdr:colOff>63500</xdr:colOff>
      <xdr:row>88</xdr:row>
      <xdr:rowOff>158750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4C53EE1D-C9A5-86B1-20CC-CEEE7EDCE2B3}"/>
            </a:ext>
          </a:extLst>
        </xdr:cNvPr>
        <xdr:cNvCxnSpPr/>
      </xdr:nvCxnSpPr>
      <xdr:spPr>
        <a:xfrm flipH="1" flipV="1">
          <a:off x="11270376875" y="21605875"/>
          <a:ext cx="2291292" cy="497417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1952625</xdr:colOff>
      <xdr:row>15</xdr:row>
      <xdr:rowOff>137583</xdr:rowOff>
    </xdr:from>
    <xdr:to>
      <xdr:col>6</xdr:col>
      <xdr:colOff>5292</xdr:colOff>
      <xdr:row>15</xdr:row>
      <xdr:rowOff>142875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5F0FAF3F-83E6-AE5C-046D-DFAF35FE5608}"/>
            </a:ext>
          </a:extLst>
        </xdr:cNvPr>
        <xdr:cNvCxnSpPr/>
      </xdr:nvCxnSpPr>
      <xdr:spPr>
        <a:xfrm flipH="1" flipV="1">
          <a:off x="11267101333" y="3677708"/>
          <a:ext cx="1386417" cy="5292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931333</xdr:colOff>
      <xdr:row>13</xdr:row>
      <xdr:rowOff>243416</xdr:rowOff>
    </xdr:from>
    <xdr:to>
      <xdr:col>4</xdr:col>
      <xdr:colOff>941917</xdr:colOff>
      <xdr:row>15</xdr:row>
      <xdr:rowOff>10584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178D7070-071D-8F83-8623-D409B684F0A9}"/>
            </a:ext>
          </a:extLst>
        </xdr:cNvPr>
        <xdr:cNvCxnSpPr/>
      </xdr:nvCxnSpPr>
      <xdr:spPr>
        <a:xfrm flipH="1" flipV="1">
          <a:off x="11269498458" y="3534833"/>
          <a:ext cx="10584" cy="264584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1545167</xdr:colOff>
      <xdr:row>15</xdr:row>
      <xdr:rowOff>142875</xdr:rowOff>
    </xdr:from>
    <xdr:to>
      <xdr:col>4</xdr:col>
      <xdr:colOff>10583</xdr:colOff>
      <xdr:row>15</xdr:row>
      <xdr:rowOff>148167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3AB8278C-7211-4E53-8670-C8C5E5AFB2C5}"/>
            </a:ext>
          </a:extLst>
        </xdr:cNvPr>
        <xdr:cNvCxnSpPr/>
      </xdr:nvCxnSpPr>
      <xdr:spPr>
        <a:xfrm>
          <a:off x="11270429792" y="3931708"/>
          <a:ext cx="1206500" cy="5292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947208</xdr:colOff>
      <xdr:row>16</xdr:row>
      <xdr:rowOff>21166</xdr:rowOff>
    </xdr:from>
    <xdr:to>
      <xdr:col>4</xdr:col>
      <xdr:colOff>947208</xdr:colOff>
      <xdr:row>17</xdr:row>
      <xdr:rowOff>42333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EAA349F9-07C6-16FB-50DC-9E89B666ECEA}"/>
            </a:ext>
          </a:extLst>
        </xdr:cNvPr>
        <xdr:cNvCxnSpPr/>
      </xdr:nvCxnSpPr>
      <xdr:spPr>
        <a:xfrm>
          <a:off x="11269493167" y="4058708"/>
          <a:ext cx="0" cy="2698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693208</xdr:colOff>
      <xdr:row>78</xdr:row>
      <xdr:rowOff>89958</xdr:rowOff>
    </xdr:from>
    <xdr:to>
      <xdr:col>8</xdr:col>
      <xdr:colOff>140229</xdr:colOff>
      <xdr:row>87</xdr:row>
      <xdr:rowOff>106892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E9DDDDD-7CD9-7DAF-9B6E-D2130A2924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Persian%20Function%20For%20EXCEL.xla" TargetMode="External"/><Relationship Id="rId1" Type="http://schemas.openxmlformats.org/officeDocument/2006/relationships/externalLinkPath" Target="file:///C:\Persian%20Function%20For%20EXCEL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definedNames>
      <definedName name="J_DIFF"/>
    </definedNames>
    <sheetDataSet>
      <sheetData sheetId="0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CB753-C4AF-45C6-BF8E-4146659416B4}">
  <dimension ref="A1:G181"/>
  <sheetViews>
    <sheetView rightToLeft="1" zoomScale="180" zoomScaleNormal="180" workbookViewId="0">
      <pane ySplit="1" topLeftCell="A8" activePane="bottomLeft" state="frozen"/>
      <selection activeCell="E1" sqref="E1"/>
      <selection pane="bottomLeft" activeCell="E1" sqref="E1"/>
    </sheetView>
  </sheetViews>
  <sheetFormatPr defaultRowHeight="19.5"/>
  <cols>
    <col min="1" max="2" width="9" style="1"/>
    <col min="3" max="3" width="20.625" style="1" customWidth="1"/>
    <col min="4" max="4" width="15.375" style="1" customWidth="1"/>
    <col min="5" max="5" width="26.875" style="1" customWidth="1"/>
    <col min="6" max="6" width="16.875" style="1" customWidth="1"/>
    <col min="7" max="7" width="14.375" style="1" customWidth="1"/>
    <col min="8" max="16384" width="9" style="1"/>
  </cols>
  <sheetData>
    <row r="1" spans="1:6" ht="24" customHeight="1">
      <c r="A1" s="2" t="e" vm="1">
        <v>#VALUE!</v>
      </c>
      <c r="B1" s="1" t="s">
        <v>2</v>
      </c>
      <c r="D1" s="1" t="s">
        <v>1450</v>
      </c>
      <c r="E1" s="1" t="s">
        <v>0</v>
      </c>
    </row>
    <row r="4" spans="1:6">
      <c r="B4" s="1" t="s">
        <v>3</v>
      </c>
      <c r="E4" s="1" t="s">
        <v>1</v>
      </c>
    </row>
    <row r="5" spans="1:6">
      <c r="E5" s="1" t="s">
        <v>4</v>
      </c>
    </row>
    <row r="6" spans="1:6">
      <c r="C6" s="1" t="s">
        <v>5</v>
      </c>
      <c r="E6" s="1" t="s">
        <v>12</v>
      </c>
    </row>
    <row r="7" spans="1:6" ht="19.5" customHeight="1">
      <c r="B7" s="102" t="s">
        <v>3</v>
      </c>
      <c r="C7" s="4" t="s">
        <v>6</v>
      </c>
      <c r="D7" s="102" t="s">
        <v>11</v>
      </c>
      <c r="E7" s="4" t="s">
        <v>13</v>
      </c>
      <c r="F7" s="102" t="str">
        <f>B7</f>
        <v>صورت های مالی اساسی</v>
      </c>
    </row>
    <row r="8" spans="1:6">
      <c r="B8" s="102"/>
      <c r="C8" s="4" t="s">
        <v>7</v>
      </c>
      <c r="D8" s="102"/>
      <c r="E8" s="4" t="str">
        <f>C8</f>
        <v>صورت سود و زیان</v>
      </c>
      <c r="F8" s="102"/>
    </row>
    <row r="9" spans="1:6">
      <c r="B9" s="102"/>
      <c r="C9" s="4" t="s">
        <v>8</v>
      </c>
      <c r="D9" s="102"/>
      <c r="E9" s="4" t="str">
        <f>C9</f>
        <v>صورت سودو زیان جامع</v>
      </c>
      <c r="F9" s="102"/>
    </row>
    <row r="10" spans="1:6">
      <c r="B10" s="102"/>
      <c r="C10" s="4" t="s">
        <v>9</v>
      </c>
      <c r="D10" s="102"/>
      <c r="E10" s="4" t="s">
        <v>14</v>
      </c>
      <c r="F10" s="102"/>
    </row>
    <row r="11" spans="1:6">
      <c r="B11" s="4"/>
      <c r="C11" s="4" t="s">
        <v>10</v>
      </c>
      <c r="D11" s="102"/>
      <c r="E11" s="4" t="s">
        <v>15</v>
      </c>
      <c r="F11" s="102"/>
    </row>
    <row r="12" spans="1:6">
      <c r="B12" s="4"/>
      <c r="C12" s="4"/>
      <c r="D12" s="102"/>
      <c r="E12" s="4" t="s">
        <v>16</v>
      </c>
      <c r="F12" s="4"/>
    </row>
    <row r="14" spans="1:6">
      <c r="C14" s="1" t="s">
        <v>17</v>
      </c>
    </row>
    <row r="15" spans="1:6">
      <c r="C15" s="1" t="s">
        <v>18</v>
      </c>
      <c r="D15" s="1" t="s">
        <v>19</v>
      </c>
    </row>
    <row r="17" spans="3:7">
      <c r="C17" s="1" t="s">
        <v>20</v>
      </c>
    </row>
    <row r="18" spans="3:7">
      <c r="C18" s="1" t="s">
        <v>21</v>
      </c>
    </row>
    <row r="19" spans="3:7">
      <c r="C19" s="1" t="s">
        <v>22</v>
      </c>
    </row>
    <row r="21" spans="3:7">
      <c r="C21" s="1" t="s">
        <v>21</v>
      </c>
    </row>
    <row r="22" spans="3:7">
      <c r="C22" s="1" t="s">
        <v>23</v>
      </c>
    </row>
    <row r="24" spans="3:7">
      <c r="C24" s="91" t="s">
        <v>24</v>
      </c>
      <c r="D24" s="6" t="s">
        <v>25</v>
      </c>
      <c r="E24" s="91" t="s">
        <v>35</v>
      </c>
      <c r="F24" s="1" t="s">
        <v>38</v>
      </c>
      <c r="G24" s="91" t="s">
        <v>37</v>
      </c>
    </row>
    <row r="25" spans="3:7">
      <c r="C25" s="91"/>
      <c r="D25" s="6" t="s">
        <v>26</v>
      </c>
      <c r="E25" s="91"/>
      <c r="G25" s="91"/>
    </row>
    <row r="26" spans="3:7">
      <c r="C26" s="91" t="s">
        <v>27</v>
      </c>
      <c r="D26" s="7" t="s">
        <v>28</v>
      </c>
      <c r="E26" s="91" t="s">
        <v>36</v>
      </c>
      <c r="G26" s="91"/>
    </row>
    <row r="27" spans="3:7">
      <c r="C27" s="91"/>
      <c r="D27" s="7" t="s">
        <v>29</v>
      </c>
      <c r="E27" s="91"/>
      <c r="G27" s="91"/>
    </row>
    <row r="28" spans="3:7">
      <c r="C28" s="91"/>
      <c r="D28" s="6" t="s">
        <v>30</v>
      </c>
      <c r="E28" s="91"/>
      <c r="G28" s="91"/>
    </row>
    <row r="29" spans="3:7">
      <c r="C29" s="91"/>
      <c r="D29" s="6" t="s">
        <v>31</v>
      </c>
      <c r="E29" s="91"/>
      <c r="F29" s="1" t="s">
        <v>39</v>
      </c>
      <c r="G29" s="91"/>
    </row>
    <row r="30" spans="3:7">
      <c r="C30" s="91"/>
      <c r="D30" s="6" t="s">
        <v>32</v>
      </c>
      <c r="E30" s="91"/>
      <c r="G30" s="91"/>
    </row>
    <row r="31" spans="3:7">
      <c r="C31" s="91"/>
      <c r="D31" s="6" t="s">
        <v>33</v>
      </c>
      <c r="E31" s="91"/>
      <c r="G31" s="91"/>
    </row>
    <row r="32" spans="3:7">
      <c r="C32" s="91"/>
      <c r="D32" s="6" t="s">
        <v>34</v>
      </c>
      <c r="E32" s="91"/>
      <c r="G32" s="91"/>
    </row>
    <row r="34" spans="3:7">
      <c r="E34" s="1" t="s">
        <v>40</v>
      </c>
      <c r="F34" s="1" t="s">
        <v>42</v>
      </c>
    </row>
    <row r="35" spans="3:7">
      <c r="E35" s="1" t="s">
        <v>41</v>
      </c>
      <c r="F35" s="1" t="s">
        <v>43</v>
      </c>
    </row>
    <row r="37" spans="3:7">
      <c r="C37" s="1" t="s">
        <v>44</v>
      </c>
    </row>
    <row r="38" spans="3:7">
      <c r="C38" s="1" t="s">
        <v>45</v>
      </c>
    </row>
    <row r="39" spans="3:7">
      <c r="E39" s="3" t="s">
        <v>46</v>
      </c>
      <c r="F39" s="3" t="s">
        <v>47</v>
      </c>
      <c r="G39" s="3" t="s">
        <v>48</v>
      </c>
    </row>
    <row r="40" spans="3:7">
      <c r="E40" s="3" t="s">
        <v>49</v>
      </c>
      <c r="F40" s="3">
        <v>1000</v>
      </c>
      <c r="G40" s="3">
        <v>1000</v>
      </c>
    </row>
    <row r="41" spans="3:7">
      <c r="E41" s="3" t="s">
        <v>50</v>
      </c>
      <c r="F41" s="3">
        <v>900</v>
      </c>
      <c r="G41" s="3">
        <v>200</v>
      </c>
    </row>
    <row r="42" spans="3:7">
      <c r="E42" s="3" t="s">
        <v>51</v>
      </c>
      <c r="F42" s="3">
        <v>100</v>
      </c>
      <c r="G42" s="3">
        <v>800</v>
      </c>
    </row>
    <row r="43" spans="3:7">
      <c r="E43" s="3" t="s">
        <v>52</v>
      </c>
      <c r="F43" s="3">
        <v>900</v>
      </c>
      <c r="G43" s="3">
        <v>100</v>
      </c>
    </row>
    <row r="45" spans="3:7">
      <c r="C45" s="1" t="s">
        <v>22</v>
      </c>
    </row>
    <row r="46" spans="3:7">
      <c r="C46" s="1" t="s">
        <v>53</v>
      </c>
    </row>
    <row r="48" spans="3:7">
      <c r="C48" s="1" t="s">
        <v>54</v>
      </c>
      <c r="D48" s="1" t="s">
        <v>55</v>
      </c>
      <c r="F48" s="1" t="s">
        <v>13</v>
      </c>
    </row>
    <row r="49" spans="3:6">
      <c r="D49" s="1" t="s">
        <v>56</v>
      </c>
      <c r="F49" s="1" t="s">
        <v>59</v>
      </c>
    </row>
    <row r="50" spans="3:6">
      <c r="C50" s="1" t="s">
        <v>57</v>
      </c>
      <c r="D50" s="1" t="s">
        <v>58</v>
      </c>
      <c r="F50" s="1" t="s">
        <v>60</v>
      </c>
    </row>
    <row r="51" spans="3:6">
      <c r="F51" s="1" t="s">
        <v>61</v>
      </c>
    </row>
    <row r="52" spans="3:6">
      <c r="F52" s="1" t="s">
        <v>63</v>
      </c>
    </row>
    <row r="53" spans="3:6">
      <c r="C53" s="1" t="s">
        <v>62</v>
      </c>
      <c r="F53" s="1" t="s">
        <v>16</v>
      </c>
    </row>
    <row r="55" spans="3:6">
      <c r="C55" s="1" t="s">
        <v>64</v>
      </c>
    </row>
    <row r="56" spans="3:6">
      <c r="C56" s="1" t="s">
        <v>65</v>
      </c>
    </row>
    <row r="58" spans="3:6">
      <c r="C58" s="3" t="s">
        <v>66</v>
      </c>
      <c r="D58" s="3"/>
    </row>
    <row r="59" spans="3:6">
      <c r="C59" s="3" t="s">
        <v>67</v>
      </c>
      <c r="D59" s="3" t="s">
        <v>70</v>
      </c>
    </row>
    <row r="60" spans="3:6">
      <c r="C60" s="3" t="s">
        <v>68</v>
      </c>
      <c r="D60" s="3"/>
    </row>
    <row r="61" spans="3:6">
      <c r="C61" s="3" t="s">
        <v>69</v>
      </c>
      <c r="D61" s="3" t="s">
        <v>70</v>
      </c>
    </row>
    <row r="64" spans="3:6">
      <c r="C64" s="1" t="s">
        <v>71</v>
      </c>
    </row>
    <row r="65" spans="3:6">
      <c r="C65" s="1" t="s">
        <v>72</v>
      </c>
    </row>
    <row r="66" spans="3:6">
      <c r="C66" s="1" t="s">
        <v>73</v>
      </c>
    </row>
    <row r="67" spans="3:6">
      <c r="C67" s="1" t="s">
        <v>74</v>
      </c>
    </row>
    <row r="68" spans="3:6">
      <c r="C68" s="1" t="s">
        <v>75</v>
      </c>
    </row>
    <row r="69" spans="3:6">
      <c r="C69" s="1" t="s">
        <v>76</v>
      </c>
    </row>
    <row r="71" spans="3:6">
      <c r="C71" s="1" t="s">
        <v>77</v>
      </c>
    </row>
    <row r="72" spans="3:6">
      <c r="C72" s="1" t="s">
        <v>78</v>
      </c>
      <c r="E72" s="2" t="s">
        <v>79</v>
      </c>
      <c r="F72" s="2" t="s">
        <v>81</v>
      </c>
    </row>
    <row r="73" spans="3:6">
      <c r="E73" s="2" t="s">
        <v>80</v>
      </c>
      <c r="F73" s="2" t="s">
        <v>82</v>
      </c>
    </row>
    <row r="75" spans="3:6">
      <c r="C75" s="1" t="s">
        <v>83</v>
      </c>
      <c r="D75" s="1" t="s">
        <v>85</v>
      </c>
    </row>
    <row r="76" spans="3:6">
      <c r="C76" s="1" t="s">
        <v>84</v>
      </c>
    </row>
    <row r="77" spans="3:6">
      <c r="C77" s="1" t="s">
        <v>86</v>
      </c>
      <c r="D77" s="1" t="s">
        <v>88</v>
      </c>
    </row>
    <row r="78" spans="3:6">
      <c r="C78" s="1" t="s">
        <v>87</v>
      </c>
      <c r="D78" s="1" t="s">
        <v>89</v>
      </c>
    </row>
    <row r="80" spans="3:6">
      <c r="C80" s="1" t="s">
        <v>90</v>
      </c>
    </row>
    <row r="82" spans="3:7">
      <c r="C82" s="1" t="s">
        <v>91</v>
      </c>
      <c r="D82" s="1" t="s">
        <v>94</v>
      </c>
      <c r="E82" s="1" t="s">
        <v>97</v>
      </c>
    </row>
    <row r="83" spans="3:7">
      <c r="C83" s="2" t="s">
        <v>92</v>
      </c>
      <c r="D83" s="2" t="s">
        <v>95</v>
      </c>
      <c r="E83" s="2" t="s">
        <v>98</v>
      </c>
    </row>
    <row r="84" spans="3:7">
      <c r="C84" s="2" t="s">
        <v>93</v>
      </c>
      <c r="D84" s="2" t="s">
        <v>96</v>
      </c>
      <c r="E84" s="2" t="s">
        <v>99</v>
      </c>
    </row>
    <row r="86" spans="3:7" ht="20.25">
      <c r="C86" s="8" t="s">
        <v>100</v>
      </c>
    </row>
    <row r="87" spans="3:7">
      <c r="C87" s="1" t="s">
        <v>101</v>
      </c>
    </row>
    <row r="88" spans="3:7">
      <c r="C88" s="1" t="s">
        <v>102</v>
      </c>
    </row>
    <row r="89" spans="3:7">
      <c r="C89" s="1" t="s">
        <v>103</v>
      </c>
    </row>
    <row r="92" spans="3:7">
      <c r="C92" s="1" t="s">
        <v>104</v>
      </c>
    </row>
    <row r="93" spans="3:7">
      <c r="C93" s="1" t="s">
        <v>105</v>
      </c>
    </row>
    <row r="94" spans="3:7">
      <c r="C94" s="1" t="s">
        <v>106</v>
      </c>
    </row>
    <row r="95" spans="3:7">
      <c r="C95" s="4"/>
      <c r="D95" s="3" t="s">
        <v>108</v>
      </c>
      <c r="E95" s="4" t="str">
        <f>D95</f>
        <v>از ماده</v>
      </c>
      <c r="F95" s="4" t="str">
        <f>G95</f>
        <v>تا ماده</v>
      </c>
      <c r="G95" s="3" t="s">
        <v>109</v>
      </c>
    </row>
    <row r="96" spans="3:7">
      <c r="C96" s="4" t="s">
        <v>107</v>
      </c>
      <c r="D96" s="3" t="s">
        <v>110</v>
      </c>
      <c r="E96" s="4"/>
      <c r="F96" s="4"/>
      <c r="G96" s="3" t="s">
        <v>111</v>
      </c>
    </row>
    <row r="97" spans="3:7">
      <c r="C97" s="4" t="s">
        <v>112</v>
      </c>
      <c r="D97" s="4"/>
      <c r="E97" s="3">
        <v>1</v>
      </c>
      <c r="F97" s="3">
        <v>300</v>
      </c>
      <c r="G97" s="4"/>
    </row>
    <row r="99" spans="3:7">
      <c r="C99" s="1" t="s">
        <v>113</v>
      </c>
    </row>
    <row r="100" spans="3:7">
      <c r="C100" s="4"/>
      <c r="D100" s="4"/>
      <c r="E100" s="4" t="s">
        <v>120</v>
      </c>
    </row>
    <row r="101" spans="3:7">
      <c r="C101" s="4" t="s">
        <v>114</v>
      </c>
      <c r="D101" s="4" t="s">
        <v>117</v>
      </c>
      <c r="E101" s="4" t="s">
        <v>123</v>
      </c>
    </row>
    <row r="102" spans="3:7">
      <c r="C102" s="4" t="s">
        <v>115</v>
      </c>
      <c r="D102" s="4" t="s">
        <v>118</v>
      </c>
      <c r="E102" s="4" t="s">
        <v>122</v>
      </c>
    </row>
    <row r="103" spans="3:7">
      <c r="C103" s="4" t="s">
        <v>116</v>
      </c>
      <c r="D103" s="4" t="s">
        <v>119</v>
      </c>
      <c r="E103" s="4" t="s">
        <v>121</v>
      </c>
    </row>
    <row r="106" spans="3:7">
      <c r="C106" s="1" t="s">
        <v>124</v>
      </c>
    </row>
    <row r="108" spans="3:7">
      <c r="C108" s="1" t="s">
        <v>125</v>
      </c>
    </row>
    <row r="109" spans="3:7">
      <c r="C109" s="1" t="s">
        <v>126</v>
      </c>
    </row>
    <row r="110" spans="3:7">
      <c r="C110" s="1" t="s">
        <v>127</v>
      </c>
    </row>
    <row r="113" spans="3:6">
      <c r="C113" s="1" t="s">
        <v>128</v>
      </c>
      <c r="D113" s="94" t="s">
        <v>131</v>
      </c>
      <c r="E113" s="94"/>
    </row>
    <row r="114" spans="3:6">
      <c r="C114" s="1" t="s">
        <v>129</v>
      </c>
      <c r="D114" s="94"/>
      <c r="E114" s="94"/>
    </row>
    <row r="115" spans="3:6">
      <c r="C115" s="1" t="s">
        <v>130</v>
      </c>
      <c r="D115" s="94"/>
      <c r="E115" s="94"/>
    </row>
    <row r="117" spans="3:6">
      <c r="C117" s="1" t="s">
        <v>132</v>
      </c>
    </row>
    <row r="118" spans="3:6" ht="20.25" thickBot="1">
      <c r="C118" s="1" t="s">
        <v>134</v>
      </c>
    </row>
    <row r="119" spans="3:6">
      <c r="C119" s="9" t="s">
        <v>128</v>
      </c>
      <c r="D119" s="99" t="s">
        <v>137</v>
      </c>
      <c r="E119" s="99"/>
      <c r="F119" s="10" t="s">
        <v>135</v>
      </c>
    </row>
    <row r="120" spans="3:6">
      <c r="C120" s="11" t="s">
        <v>129</v>
      </c>
      <c r="D120" s="100"/>
      <c r="E120" s="100"/>
      <c r="F120" s="12"/>
    </row>
    <row r="121" spans="3:6">
      <c r="C121" s="11" t="s">
        <v>130</v>
      </c>
      <c r="D121" s="100"/>
      <c r="E121" s="100"/>
      <c r="F121" s="12"/>
    </row>
    <row r="122" spans="3:6" ht="20.25" thickBot="1">
      <c r="C122" s="13" t="s">
        <v>133</v>
      </c>
      <c r="D122" s="101"/>
      <c r="E122" s="101"/>
      <c r="F122" s="14" t="s">
        <v>136</v>
      </c>
    </row>
    <row r="124" spans="3:6">
      <c r="C124" s="1" t="s">
        <v>138</v>
      </c>
      <c r="D124" s="1" t="s">
        <v>139</v>
      </c>
    </row>
    <row r="125" spans="3:6">
      <c r="C125" s="1" t="s">
        <v>140</v>
      </c>
      <c r="D125" s="1" t="s">
        <v>141</v>
      </c>
    </row>
    <row r="127" spans="3:6">
      <c r="C127" s="1" t="s">
        <v>138</v>
      </c>
      <c r="D127" s="1" t="s">
        <v>142</v>
      </c>
    </row>
    <row r="128" spans="3:6">
      <c r="C128" s="1" t="s">
        <v>140</v>
      </c>
      <c r="D128" s="1" t="s">
        <v>143</v>
      </c>
    </row>
    <row r="130" spans="3:5">
      <c r="C130" s="1" t="s">
        <v>100</v>
      </c>
    </row>
    <row r="131" spans="3:5">
      <c r="C131" s="1" t="s">
        <v>144</v>
      </c>
      <c r="E131" s="1" t="s">
        <v>145</v>
      </c>
    </row>
    <row r="132" spans="3:5">
      <c r="C132" s="1" t="s">
        <v>146</v>
      </c>
      <c r="E132" s="1" t="s">
        <v>145</v>
      </c>
    </row>
    <row r="134" spans="3:5">
      <c r="C134" s="1" t="s">
        <v>147</v>
      </c>
    </row>
    <row r="135" spans="3:5">
      <c r="C135" s="1" t="s">
        <v>148</v>
      </c>
      <c r="D135" s="1" t="s">
        <v>149</v>
      </c>
    </row>
    <row r="136" spans="3:5">
      <c r="C136" s="1" t="s">
        <v>150</v>
      </c>
      <c r="D136" s="1" t="s">
        <v>151</v>
      </c>
    </row>
    <row r="137" spans="3:5">
      <c r="C137" s="1" t="s">
        <v>40</v>
      </c>
      <c r="D137" s="1" t="s">
        <v>152</v>
      </c>
    </row>
    <row r="138" spans="3:5">
      <c r="C138" s="1" t="s">
        <v>41</v>
      </c>
    </row>
    <row r="140" spans="3:5">
      <c r="C140" s="1" t="s">
        <v>153</v>
      </c>
    </row>
    <row r="141" spans="3:5">
      <c r="C141" s="1" t="s">
        <v>154</v>
      </c>
      <c r="D141" s="1" t="s">
        <v>155</v>
      </c>
    </row>
    <row r="142" spans="3:5">
      <c r="C142" s="1" t="s">
        <v>156</v>
      </c>
      <c r="D142" s="1" t="s">
        <v>157</v>
      </c>
    </row>
    <row r="143" spans="3:5">
      <c r="D143" s="1" t="s">
        <v>158</v>
      </c>
    </row>
    <row r="144" spans="3:5">
      <c r="D144" s="1" t="s">
        <v>159</v>
      </c>
    </row>
    <row r="146" spans="3:6">
      <c r="C146" s="1" t="s">
        <v>160</v>
      </c>
      <c r="D146" s="1" t="s">
        <v>161</v>
      </c>
    </row>
    <row r="148" spans="3:6">
      <c r="C148" s="1" t="s">
        <v>162</v>
      </c>
      <c r="E148" s="15">
        <v>1000000000000</v>
      </c>
    </row>
    <row r="149" spans="3:6">
      <c r="C149" s="1" t="s">
        <v>163</v>
      </c>
      <c r="E149" s="15">
        <f>E148*2</f>
        <v>2000000000000</v>
      </c>
    </row>
    <row r="150" spans="3:6">
      <c r="C150" s="1" t="s">
        <v>164</v>
      </c>
      <c r="E150" s="16">
        <f>SUM(E148:E149)</f>
        <v>3000000000000</v>
      </c>
    </row>
    <row r="151" spans="3:6">
      <c r="C151" s="1" t="s">
        <v>165</v>
      </c>
      <c r="E151" s="16">
        <f>E150/2</f>
        <v>1500000000000</v>
      </c>
      <c r="F151" s="1" t="s">
        <v>166</v>
      </c>
    </row>
    <row r="153" spans="3:6">
      <c r="C153" s="21" t="s">
        <v>167</v>
      </c>
      <c r="D153" s="21" t="s">
        <v>168</v>
      </c>
      <c r="E153" s="21" t="s">
        <v>169</v>
      </c>
      <c r="F153" s="21" t="s">
        <v>170</v>
      </c>
    </row>
    <row r="154" spans="3:6">
      <c r="C154" s="17">
        <v>0</v>
      </c>
      <c r="D154" s="17">
        <v>1000000000</v>
      </c>
      <c r="E154" s="18">
        <v>0.03</v>
      </c>
      <c r="F154" s="19">
        <f>(D154-C154)*E154</f>
        <v>30000000</v>
      </c>
    </row>
    <row r="155" spans="3:6">
      <c r="C155" s="17">
        <f>D154</f>
        <v>1000000000</v>
      </c>
      <c r="D155" s="17">
        <f>D154*10</f>
        <v>10000000000</v>
      </c>
      <c r="E155" s="20">
        <v>2.5000000000000001E-2</v>
      </c>
      <c r="F155" s="19">
        <f t="shared" ref="F155:F158" si="0">(D155-C155)*E155</f>
        <v>225000000</v>
      </c>
    </row>
    <row r="156" spans="3:6">
      <c r="C156" s="17">
        <f t="shared" ref="C156:C158" si="1">D155</f>
        <v>10000000000</v>
      </c>
      <c r="D156" s="17">
        <f t="shared" ref="D156:D157" si="2">D155*10</f>
        <v>100000000000</v>
      </c>
      <c r="E156" s="18">
        <v>0.02</v>
      </c>
      <c r="F156" s="19">
        <f t="shared" si="0"/>
        <v>1800000000</v>
      </c>
    </row>
    <row r="157" spans="3:6">
      <c r="C157" s="17">
        <f t="shared" si="1"/>
        <v>100000000000</v>
      </c>
      <c r="D157" s="17">
        <f t="shared" si="2"/>
        <v>1000000000000</v>
      </c>
      <c r="E157" s="20">
        <v>1.4999999999999999E-2</v>
      </c>
      <c r="F157" s="19">
        <f t="shared" si="0"/>
        <v>13500000000</v>
      </c>
    </row>
    <row r="158" spans="3:6">
      <c r="C158" s="17">
        <f t="shared" si="1"/>
        <v>1000000000000</v>
      </c>
      <c r="D158" s="17">
        <f>E151</f>
        <v>1500000000000</v>
      </c>
      <c r="E158" s="18">
        <v>0.01</v>
      </c>
      <c r="F158" s="19">
        <f t="shared" si="0"/>
        <v>5000000000</v>
      </c>
    </row>
    <row r="159" spans="3:6">
      <c r="F159" s="16">
        <f>SUM(F154:F158)</f>
        <v>20555000000</v>
      </c>
    </row>
    <row r="161" spans="3:5">
      <c r="C161" s="1" t="s">
        <v>46</v>
      </c>
    </row>
    <row r="162" spans="3:5">
      <c r="C162" s="1" t="s">
        <v>171</v>
      </c>
      <c r="D162" s="1" t="s">
        <v>172</v>
      </c>
    </row>
    <row r="163" spans="3:5">
      <c r="C163" s="1" t="s">
        <v>173</v>
      </c>
      <c r="D163" s="1" t="s">
        <v>174</v>
      </c>
    </row>
    <row r="164" spans="3:5">
      <c r="C164" s="1" t="s">
        <v>175</v>
      </c>
      <c r="D164" s="1" t="s">
        <v>176</v>
      </c>
    </row>
    <row r="167" spans="3:5">
      <c r="C167" s="22" t="s">
        <v>46</v>
      </c>
      <c r="D167" s="21" t="s">
        <v>177</v>
      </c>
      <c r="E167" s="21" t="s">
        <v>178</v>
      </c>
    </row>
    <row r="168" spans="3:5">
      <c r="C168" s="4" t="s">
        <v>171</v>
      </c>
      <c r="D168" s="3" t="s">
        <v>157</v>
      </c>
      <c r="E168" s="3" t="s">
        <v>158</v>
      </c>
    </row>
    <row r="169" spans="3:5">
      <c r="C169" s="4" t="s">
        <v>173</v>
      </c>
      <c r="D169" s="3" t="s">
        <v>157</v>
      </c>
      <c r="E169" s="3" t="s">
        <v>159</v>
      </c>
    </row>
    <row r="170" spans="3:5">
      <c r="C170" s="4" t="s">
        <v>175</v>
      </c>
      <c r="D170" s="3" t="s">
        <v>182</v>
      </c>
      <c r="E170" s="3" t="s">
        <v>159</v>
      </c>
    </row>
    <row r="173" spans="3:5">
      <c r="C173" s="1" t="s">
        <v>179</v>
      </c>
    </row>
    <row r="174" spans="3:5">
      <c r="C174" s="1" t="s">
        <v>180</v>
      </c>
    </row>
    <row r="175" spans="3:5">
      <c r="C175" s="1" t="s">
        <v>181</v>
      </c>
    </row>
    <row r="177" spans="3:3">
      <c r="C177" s="1" t="s">
        <v>100</v>
      </c>
    </row>
    <row r="178" spans="3:3">
      <c r="C178" s="1" t="s">
        <v>183</v>
      </c>
    </row>
    <row r="180" spans="3:3">
      <c r="C180" s="1" t="s">
        <v>184</v>
      </c>
    </row>
    <row r="181" spans="3:3">
      <c r="C181" s="1" t="s">
        <v>185</v>
      </c>
    </row>
  </sheetData>
  <mergeCells count="10">
    <mergeCell ref="G24:G32"/>
    <mergeCell ref="D113:E115"/>
    <mergeCell ref="D119:E122"/>
    <mergeCell ref="B7:B10"/>
    <mergeCell ref="F7:F11"/>
    <mergeCell ref="D7:D12"/>
    <mergeCell ref="C24:C25"/>
    <mergeCell ref="C26:C32"/>
    <mergeCell ref="E24:E25"/>
    <mergeCell ref="E26:E32"/>
  </mergeCells>
  <phoneticPr fontId="2" type="noConversion"/>
  <pageMargins left="0.7" right="0.7" top="0.75" bottom="0.75" header="0.3" footer="0.3"/>
  <pageSetup scale="74" orientation="portrait" r:id="rId1"/>
  <headerFooter>
    <oddFooter>&amp;C&amp;"B Zar,Bold"&amp;14&amp;P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9E068-F62A-41B4-95FD-4463A2584B1D}">
  <dimension ref="A1:H209"/>
  <sheetViews>
    <sheetView rightToLeft="1" zoomScale="180" zoomScaleNormal="180" workbookViewId="0">
      <pane ySplit="1" topLeftCell="A201" activePane="bottomLeft" state="frozen"/>
      <selection activeCell="G136" sqref="G136"/>
      <selection pane="bottomLeft" activeCell="G136" sqref="G136"/>
    </sheetView>
  </sheetViews>
  <sheetFormatPr defaultRowHeight="19.5"/>
  <cols>
    <col min="1" max="2" width="9" style="1"/>
    <col min="3" max="3" width="22.625" style="1" customWidth="1"/>
    <col min="4" max="4" width="15.375" style="1" customWidth="1"/>
    <col min="5" max="5" width="19" style="1" customWidth="1"/>
    <col min="6" max="6" width="16.875" style="1" customWidth="1"/>
    <col min="7" max="7" width="14.375" style="1" customWidth="1"/>
    <col min="8" max="8" width="9.625" style="1" bestFit="1" customWidth="1"/>
    <col min="9" max="16384" width="9" style="1"/>
  </cols>
  <sheetData>
    <row r="1" spans="1:5" ht="24" customHeight="1">
      <c r="A1" s="2" t="e" vm="1">
        <v>#VALUE!</v>
      </c>
      <c r="B1" s="1" t="s">
        <v>2</v>
      </c>
      <c r="D1" s="1" t="s">
        <v>993</v>
      </c>
      <c r="E1" s="1" t="s">
        <v>0</v>
      </c>
    </row>
    <row r="3" spans="1:5">
      <c r="D3" s="1" t="s">
        <v>994</v>
      </c>
      <c r="E3" s="1" t="s">
        <v>996</v>
      </c>
    </row>
    <row r="4" spans="1:5">
      <c r="C4" s="1" t="s">
        <v>455</v>
      </c>
      <c r="D4" s="1" t="s">
        <v>995</v>
      </c>
      <c r="E4" s="1" t="s">
        <v>995</v>
      </c>
    </row>
    <row r="5" spans="1:5">
      <c r="C5" s="1" t="s">
        <v>997</v>
      </c>
      <c r="D5" s="1" t="s">
        <v>998</v>
      </c>
      <c r="E5" s="1" t="s">
        <v>995</v>
      </c>
    </row>
    <row r="8" spans="1:5">
      <c r="D8" s="15">
        <v>44</v>
      </c>
    </row>
    <row r="9" spans="1:5">
      <c r="D9" s="15">
        <f>D8/18</f>
        <v>2.4444444444444446</v>
      </c>
    </row>
    <row r="10" spans="1:5">
      <c r="D10" s="15">
        <f>D9*12</f>
        <v>29.333333333333336</v>
      </c>
    </row>
    <row r="13" spans="1:5">
      <c r="C13" s="1" t="s">
        <v>999</v>
      </c>
    </row>
    <row r="14" spans="1:5">
      <c r="C14" s="1" t="s">
        <v>1000</v>
      </c>
      <c r="D14" s="1" t="s">
        <v>1001</v>
      </c>
    </row>
    <row r="15" spans="1:5">
      <c r="C15" s="1" t="s">
        <v>1002</v>
      </c>
      <c r="D15" s="1" t="s">
        <v>1003</v>
      </c>
    </row>
    <row r="16" spans="1:5">
      <c r="C16" s="1" t="s">
        <v>1004</v>
      </c>
      <c r="D16" s="1" t="s">
        <v>1005</v>
      </c>
    </row>
    <row r="17" spans="3:6">
      <c r="C17" s="1" t="s">
        <v>1006</v>
      </c>
    </row>
    <row r="19" spans="3:6">
      <c r="C19" s="1" t="s">
        <v>756</v>
      </c>
      <c r="D19" s="1" t="s">
        <v>1007</v>
      </c>
    </row>
    <row r="20" spans="3:6">
      <c r="C20" s="1" t="s">
        <v>758</v>
      </c>
      <c r="D20" s="1" t="s">
        <v>1008</v>
      </c>
    </row>
    <row r="21" spans="3:6">
      <c r="C21" s="1" t="s">
        <v>761</v>
      </c>
      <c r="D21" s="1" t="s">
        <v>1009</v>
      </c>
    </row>
    <row r="23" spans="3:6">
      <c r="C23" s="1" t="s">
        <v>1010</v>
      </c>
    </row>
    <row r="24" spans="3:6">
      <c r="C24" s="1" t="s">
        <v>1011</v>
      </c>
    </row>
    <row r="25" spans="3:6">
      <c r="C25" s="1" t="s">
        <v>1012</v>
      </c>
    </row>
    <row r="27" spans="3:6">
      <c r="C27" s="1" t="s">
        <v>100</v>
      </c>
    </row>
    <row r="28" spans="3:6">
      <c r="C28" s="1" t="s">
        <v>1013</v>
      </c>
      <c r="D28" s="1" t="s">
        <v>1014</v>
      </c>
      <c r="E28" s="1">
        <v>1000</v>
      </c>
      <c r="F28" s="1" t="s">
        <v>1015</v>
      </c>
    </row>
    <row r="29" spans="3:6">
      <c r="D29" s="1" t="s">
        <v>894</v>
      </c>
      <c r="E29" s="1">
        <v>90000000</v>
      </c>
    </row>
    <row r="30" spans="3:6">
      <c r="D30" s="1" t="s">
        <v>1016</v>
      </c>
    </row>
    <row r="32" spans="3:6">
      <c r="C32" s="1" t="s">
        <v>1017</v>
      </c>
    </row>
    <row r="34" spans="2:7">
      <c r="C34" s="4" t="s">
        <v>1018</v>
      </c>
      <c r="D34" s="26">
        <v>1000</v>
      </c>
      <c r="E34" s="26">
        <v>900000</v>
      </c>
      <c r="F34" s="26">
        <f>D34*E34</f>
        <v>900000000</v>
      </c>
    </row>
    <row r="35" spans="2:7">
      <c r="C35" s="4" t="s">
        <v>1019</v>
      </c>
      <c r="D35" s="4">
        <v>850</v>
      </c>
      <c r="E35" s="4">
        <v>800000</v>
      </c>
      <c r="F35" s="26">
        <f>D35*E35*20%</f>
        <v>136000000</v>
      </c>
    </row>
    <row r="36" spans="2:7">
      <c r="C36" s="4" t="s">
        <v>1020</v>
      </c>
      <c r="D36" s="4"/>
      <c r="E36" s="4"/>
      <c r="F36" s="26">
        <f>SUM(F34:F35)</f>
        <v>1036000000</v>
      </c>
    </row>
    <row r="39" spans="2:7">
      <c r="C39" s="4" t="s">
        <v>1021</v>
      </c>
      <c r="D39" s="4"/>
      <c r="E39" s="4"/>
      <c r="F39" s="4"/>
    </row>
    <row r="40" spans="2:7">
      <c r="C40" s="4" t="s">
        <v>1022</v>
      </c>
      <c r="D40" s="4">
        <v>850</v>
      </c>
      <c r="E40" s="27">
        <f>E34</f>
        <v>900000</v>
      </c>
      <c r="F40" s="27">
        <f>D40*E40</f>
        <v>765000000</v>
      </c>
    </row>
    <row r="41" spans="2:7">
      <c r="C41" s="4" t="s">
        <v>1019</v>
      </c>
      <c r="D41" s="4"/>
      <c r="E41" s="4"/>
      <c r="F41" s="27">
        <f>F35</f>
        <v>136000000</v>
      </c>
    </row>
    <row r="42" spans="2:7">
      <c r="C42" s="4"/>
      <c r="D42" s="4"/>
      <c r="E42" s="4"/>
      <c r="F42" s="27">
        <f>SUM(F40:F41)</f>
        <v>901000000</v>
      </c>
    </row>
    <row r="44" spans="2:7">
      <c r="E44" s="1" t="s">
        <v>1023</v>
      </c>
      <c r="F44" s="16">
        <f>F36-F42</f>
        <v>135000000</v>
      </c>
    </row>
    <row r="46" spans="2:7">
      <c r="B46" s="1" t="s">
        <v>932</v>
      </c>
    </row>
    <row r="47" spans="2:7">
      <c r="B47" s="1" t="s">
        <v>906</v>
      </c>
      <c r="C47" s="1" t="s">
        <v>46</v>
      </c>
      <c r="D47" s="1" t="s">
        <v>695</v>
      </c>
      <c r="E47" s="1" t="s">
        <v>489</v>
      </c>
      <c r="F47" s="1" t="s">
        <v>773</v>
      </c>
      <c r="G47" s="1" t="s">
        <v>1025</v>
      </c>
    </row>
    <row r="48" spans="2:7">
      <c r="B48" s="1">
        <v>1</v>
      </c>
      <c r="C48" s="1" t="s">
        <v>1024</v>
      </c>
      <c r="D48" s="1">
        <v>100</v>
      </c>
      <c r="E48" s="15">
        <v>10000000</v>
      </c>
      <c r="F48" s="16">
        <f>D48*E48</f>
        <v>1000000000</v>
      </c>
      <c r="G48" s="15">
        <v>2000000</v>
      </c>
    </row>
    <row r="49" spans="2:7">
      <c r="B49" s="1">
        <v>2</v>
      </c>
      <c r="C49" s="1" t="s">
        <v>1024</v>
      </c>
      <c r="D49" s="1">
        <v>150</v>
      </c>
      <c r="E49" s="15">
        <v>12000000</v>
      </c>
      <c r="F49" s="16">
        <f t="shared" ref="F49:F52" si="0">D49*E49</f>
        <v>1800000000</v>
      </c>
      <c r="G49" s="15">
        <v>2000000</v>
      </c>
    </row>
    <row r="50" spans="2:7">
      <c r="B50" s="1">
        <v>3</v>
      </c>
      <c r="C50" s="1" t="s">
        <v>86</v>
      </c>
      <c r="D50" s="1">
        <v>120</v>
      </c>
      <c r="E50" s="15">
        <v>16000000</v>
      </c>
      <c r="F50" s="16">
        <f t="shared" si="0"/>
        <v>1920000000</v>
      </c>
      <c r="G50" s="15">
        <v>3000000</v>
      </c>
    </row>
    <row r="51" spans="2:7">
      <c r="B51" s="1">
        <v>4</v>
      </c>
      <c r="C51" s="1" t="s">
        <v>1024</v>
      </c>
      <c r="D51" s="1">
        <v>160</v>
      </c>
      <c r="E51" s="15">
        <v>13000000</v>
      </c>
      <c r="F51" s="16">
        <f t="shared" si="0"/>
        <v>2080000000</v>
      </c>
      <c r="G51" s="15">
        <v>4000000</v>
      </c>
    </row>
    <row r="52" spans="2:7">
      <c r="B52" s="1">
        <v>5</v>
      </c>
      <c r="C52" s="1" t="s">
        <v>86</v>
      </c>
      <c r="D52" s="1">
        <v>150</v>
      </c>
      <c r="E52" s="15">
        <v>18000000</v>
      </c>
      <c r="F52" s="16">
        <f t="shared" si="0"/>
        <v>2700000000</v>
      </c>
      <c r="G52" s="15">
        <v>2000000</v>
      </c>
    </row>
    <row r="55" spans="2:7">
      <c r="E55" s="93" t="s">
        <v>275</v>
      </c>
      <c r="F55" s="93"/>
      <c r="G55" s="93"/>
    </row>
    <row r="56" spans="2:7">
      <c r="E56" s="4" t="s">
        <v>46</v>
      </c>
      <c r="F56" s="4" t="s">
        <v>276</v>
      </c>
      <c r="G56" s="4" t="s">
        <v>277</v>
      </c>
    </row>
    <row r="57" spans="2:7">
      <c r="E57" s="4" t="s">
        <v>39</v>
      </c>
      <c r="F57" s="27">
        <f>F48+G48</f>
        <v>1002000000</v>
      </c>
      <c r="G57" s="4"/>
    </row>
    <row r="58" spans="2:7">
      <c r="E58" s="4" t="s">
        <v>278</v>
      </c>
      <c r="F58" s="4"/>
      <c r="G58" s="27">
        <f>F57</f>
        <v>1002000000</v>
      </c>
    </row>
    <row r="59" spans="2:7">
      <c r="E59" s="4" t="s">
        <v>39</v>
      </c>
      <c r="F59" s="27">
        <f>F49+G49</f>
        <v>1802000000</v>
      </c>
      <c r="G59" s="4"/>
    </row>
    <row r="60" spans="2:7">
      <c r="E60" s="4" t="s">
        <v>278</v>
      </c>
      <c r="F60" s="4"/>
      <c r="G60" s="27">
        <f>F59</f>
        <v>1802000000</v>
      </c>
    </row>
    <row r="61" spans="2:7">
      <c r="E61" s="4" t="s">
        <v>278</v>
      </c>
      <c r="F61" s="27">
        <f>F50</f>
        <v>1920000000</v>
      </c>
      <c r="G61" s="4"/>
    </row>
    <row r="62" spans="2:7">
      <c r="E62" s="4" t="s">
        <v>86</v>
      </c>
      <c r="F62" s="4"/>
      <c r="G62" s="27">
        <f>F61</f>
        <v>1920000000</v>
      </c>
    </row>
    <row r="63" spans="2:7">
      <c r="E63" s="4" t="s">
        <v>1026</v>
      </c>
      <c r="F63" s="27">
        <f>G50</f>
        <v>3000000</v>
      </c>
      <c r="G63" s="4"/>
    </row>
    <row r="64" spans="2:7">
      <c r="E64" s="4" t="s">
        <v>278</v>
      </c>
      <c r="F64" s="4"/>
      <c r="G64" s="27">
        <f>F63</f>
        <v>3000000</v>
      </c>
    </row>
    <row r="65" spans="3:7">
      <c r="E65" s="4" t="s">
        <v>459</v>
      </c>
      <c r="F65" s="27">
        <f>'کاردکس کالا'!I5</f>
        <v>1345920000</v>
      </c>
      <c r="G65" s="27"/>
    </row>
    <row r="66" spans="3:7">
      <c r="E66" s="4" t="s">
        <v>39</v>
      </c>
      <c r="F66" s="4"/>
      <c r="G66" s="27">
        <f>F65</f>
        <v>1345920000</v>
      </c>
    </row>
    <row r="67" spans="3:7">
      <c r="E67" s="4" t="s">
        <v>39</v>
      </c>
      <c r="F67" s="27">
        <f>F51+G51</f>
        <v>2084000000</v>
      </c>
      <c r="G67" s="27"/>
    </row>
    <row r="68" spans="3:7">
      <c r="E68" s="4" t="s">
        <v>278</v>
      </c>
      <c r="F68" s="4"/>
      <c r="G68" s="27">
        <f>F67</f>
        <v>2084000000</v>
      </c>
    </row>
    <row r="69" spans="3:7">
      <c r="E69" s="4" t="s">
        <v>278</v>
      </c>
      <c r="F69" s="27">
        <f>F52</f>
        <v>2700000000</v>
      </c>
      <c r="G69" s="27"/>
    </row>
    <row r="70" spans="3:7">
      <c r="E70" s="4" t="s">
        <v>86</v>
      </c>
      <c r="F70" s="4"/>
      <c r="G70" s="27">
        <f>F69</f>
        <v>2700000000</v>
      </c>
    </row>
    <row r="71" spans="3:7">
      <c r="E71" s="4" t="s">
        <v>1026</v>
      </c>
      <c r="F71" s="27">
        <f>G52</f>
        <v>2000000</v>
      </c>
      <c r="G71" s="27"/>
    </row>
    <row r="72" spans="3:7">
      <c r="E72" s="4" t="s">
        <v>278</v>
      </c>
      <c r="F72" s="4"/>
      <c r="G72" s="27">
        <f>F71</f>
        <v>2000000</v>
      </c>
    </row>
    <row r="73" spans="3:7">
      <c r="E73" s="4" t="s">
        <v>459</v>
      </c>
      <c r="F73" s="27">
        <f>'کاردکس کالا'!I7</f>
        <v>1832110344.8275862</v>
      </c>
      <c r="G73" s="4"/>
    </row>
    <row r="74" spans="3:7">
      <c r="C74" s="1" t="s">
        <v>1027</v>
      </c>
      <c r="D74" s="1" t="s">
        <v>1029</v>
      </c>
      <c r="E74" s="4" t="s">
        <v>39</v>
      </c>
      <c r="F74" s="4"/>
      <c r="G74" s="27">
        <f>F73</f>
        <v>1832110344.8275862</v>
      </c>
    </row>
    <row r="75" spans="3:7">
      <c r="C75" s="1" t="s">
        <v>1028</v>
      </c>
    </row>
    <row r="77" spans="3:7">
      <c r="C77" s="1" t="s">
        <v>1036</v>
      </c>
      <c r="D77" s="15"/>
      <c r="E77" s="1" t="s">
        <v>1037</v>
      </c>
    </row>
    <row r="78" spans="3:7">
      <c r="C78" s="1" t="s">
        <v>1030</v>
      </c>
      <c r="D78" s="15">
        <v>1000</v>
      </c>
      <c r="E78" s="1" t="str">
        <f>C78</f>
        <v>موجودی ابتدای دوره</v>
      </c>
      <c r="F78" s="16">
        <f>D78</f>
        <v>1000</v>
      </c>
    </row>
    <row r="79" spans="3:7">
      <c r="C79" s="1" t="s">
        <v>800</v>
      </c>
      <c r="D79" s="15">
        <v>10000</v>
      </c>
      <c r="E79" s="1" t="str">
        <f>C79</f>
        <v>خرید طی دوره</v>
      </c>
      <c r="F79" s="16">
        <f t="shared" ref="F79:F80" si="1">D79</f>
        <v>10000</v>
      </c>
    </row>
    <row r="80" spans="3:7">
      <c r="C80" s="1" t="s">
        <v>1031</v>
      </c>
      <c r="D80" s="26">
        <f>SUM(D78:D79)</f>
        <v>11000</v>
      </c>
      <c r="E80" s="1" t="str">
        <f>C80</f>
        <v>آماده برای فروش</v>
      </c>
      <c r="F80" s="16">
        <f t="shared" si="1"/>
        <v>11000</v>
      </c>
    </row>
    <row r="81" spans="3:6">
      <c r="C81" s="1" t="s">
        <v>1032</v>
      </c>
      <c r="D81" s="15">
        <v>-9000</v>
      </c>
      <c r="E81" s="1" t="s">
        <v>1038</v>
      </c>
      <c r="F81" s="1">
        <f>-D83</f>
        <v>-1800</v>
      </c>
    </row>
    <row r="82" spans="3:6">
      <c r="C82" s="1" t="s">
        <v>1033</v>
      </c>
      <c r="D82" s="15">
        <f>D80+D81</f>
        <v>2000</v>
      </c>
      <c r="E82" s="1" t="s">
        <v>459</v>
      </c>
      <c r="F82" s="16">
        <f>F80+F81</f>
        <v>9200</v>
      </c>
    </row>
    <row r="83" spans="3:6">
      <c r="C83" s="1" t="s">
        <v>1034</v>
      </c>
      <c r="D83" s="15">
        <v>1800</v>
      </c>
    </row>
    <row r="84" spans="3:6">
      <c r="C84" s="1" t="s">
        <v>1035</v>
      </c>
      <c r="D84" s="15">
        <f>D83-D82</f>
        <v>-200</v>
      </c>
    </row>
    <row r="87" spans="3:6">
      <c r="C87" s="1" t="s">
        <v>1028</v>
      </c>
    </row>
    <row r="88" spans="3:6" ht="20.25">
      <c r="C88" s="8" t="s">
        <v>1039</v>
      </c>
      <c r="D88" s="8"/>
      <c r="E88" s="8"/>
    </row>
    <row r="89" spans="3:6" ht="20.25">
      <c r="C89" s="23" t="s">
        <v>1040</v>
      </c>
      <c r="D89" s="8" t="s">
        <v>1041</v>
      </c>
      <c r="E89" s="8" t="s">
        <v>1042</v>
      </c>
    </row>
    <row r="90" spans="3:6" ht="20.25">
      <c r="C90" s="23" t="s">
        <v>1040</v>
      </c>
      <c r="D90" s="8" t="s">
        <v>1043</v>
      </c>
      <c r="E90" s="8" t="s">
        <v>1036</v>
      </c>
    </row>
    <row r="91" spans="3:6">
      <c r="C91" s="2" t="s">
        <v>1044</v>
      </c>
    </row>
    <row r="92" spans="3:6">
      <c r="C92" s="2" t="s">
        <v>1045</v>
      </c>
    </row>
    <row r="93" spans="3:6">
      <c r="C93" s="2" t="s">
        <v>1046</v>
      </c>
    </row>
    <row r="96" spans="3:6">
      <c r="C96" s="1" t="s">
        <v>1049</v>
      </c>
    </row>
    <row r="97" spans="3:7">
      <c r="C97" s="91" t="s">
        <v>456</v>
      </c>
      <c r="D97" s="91" t="s">
        <v>1050</v>
      </c>
      <c r="E97" s="91"/>
      <c r="F97" s="4" t="s">
        <v>1051</v>
      </c>
      <c r="G97" s="4" t="s">
        <v>1054</v>
      </c>
    </row>
    <row r="98" spans="3:7">
      <c r="C98" s="91"/>
      <c r="D98" s="91"/>
      <c r="E98" s="91"/>
      <c r="F98" s="4" t="s">
        <v>1052</v>
      </c>
      <c r="G98" s="4"/>
    </row>
    <row r="99" spans="3:7">
      <c r="C99" s="91"/>
      <c r="D99" s="91"/>
      <c r="E99" s="91"/>
      <c r="F99" s="4" t="s">
        <v>1053</v>
      </c>
      <c r="G99" s="4"/>
    </row>
    <row r="100" spans="3:7">
      <c r="C100" s="4" t="s">
        <v>1060</v>
      </c>
      <c r="D100" s="117" t="s">
        <v>1061</v>
      </c>
      <c r="E100" s="117"/>
      <c r="F100" s="4"/>
      <c r="G100" s="4"/>
    </row>
    <row r="102" spans="3:7">
      <c r="C102" s="1" t="s">
        <v>829</v>
      </c>
    </row>
    <row r="103" spans="3:7">
      <c r="C103" s="1" t="s">
        <v>1055</v>
      </c>
    </row>
    <row r="104" spans="3:7">
      <c r="C104" s="1" t="s">
        <v>1056</v>
      </c>
      <c r="D104" s="1" t="s">
        <v>1058</v>
      </c>
    </row>
    <row r="105" spans="3:7">
      <c r="C105" s="1" t="s">
        <v>1057</v>
      </c>
      <c r="D105" s="1" t="s">
        <v>1059</v>
      </c>
    </row>
    <row r="108" spans="3:7">
      <c r="C108" s="1" t="s">
        <v>39</v>
      </c>
    </row>
    <row r="109" spans="3:7">
      <c r="C109" s="1" t="s">
        <v>1062</v>
      </c>
    </row>
    <row r="110" spans="3:7">
      <c r="C110" s="1" t="s">
        <v>1063</v>
      </c>
    </row>
    <row r="112" spans="3:7">
      <c r="C112" s="1" t="s">
        <v>1064</v>
      </c>
    </row>
    <row r="113" spans="3:3">
      <c r="C113" s="1" t="s">
        <v>1065</v>
      </c>
    </row>
    <row r="115" spans="3:3">
      <c r="C115" s="1" t="s">
        <v>1066</v>
      </c>
    </row>
    <row r="116" spans="3:3">
      <c r="C116" s="1" t="s">
        <v>1067</v>
      </c>
    </row>
    <row r="117" spans="3:3">
      <c r="C117" s="1" t="s">
        <v>1068</v>
      </c>
    </row>
    <row r="119" spans="3:3">
      <c r="C119" s="1" t="s">
        <v>1069</v>
      </c>
    </row>
    <row r="120" spans="3:3">
      <c r="C120" s="1" t="s">
        <v>1070</v>
      </c>
    </row>
    <row r="121" spans="3:3">
      <c r="C121" s="1" t="s">
        <v>1071</v>
      </c>
    </row>
    <row r="122" spans="3:3">
      <c r="C122" s="1" t="s">
        <v>1072</v>
      </c>
    </row>
    <row r="124" spans="3:3">
      <c r="C124" s="1" t="s">
        <v>1073</v>
      </c>
    </row>
    <row r="125" spans="3:3">
      <c r="C125" s="1" t="s">
        <v>1074</v>
      </c>
    </row>
    <row r="126" spans="3:3">
      <c r="C126" s="1" t="s">
        <v>1075</v>
      </c>
    </row>
    <row r="127" spans="3:3">
      <c r="C127" s="1" t="s">
        <v>1076</v>
      </c>
    </row>
    <row r="128" spans="3:3">
      <c r="C128" s="1" t="s">
        <v>1077</v>
      </c>
    </row>
    <row r="129" spans="3:4">
      <c r="C129" s="1" t="s">
        <v>1078</v>
      </c>
    </row>
    <row r="130" spans="3:4">
      <c r="C130" s="1" t="s">
        <v>1079</v>
      </c>
    </row>
    <row r="132" spans="3:4">
      <c r="C132" s="1" t="s">
        <v>439</v>
      </c>
    </row>
    <row r="133" spans="3:4">
      <c r="C133" s="1" t="s">
        <v>1080</v>
      </c>
    </row>
    <row r="134" spans="3:4">
      <c r="C134" s="1" t="s">
        <v>1081</v>
      </c>
      <c r="D134" s="1" t="s">
        <v>1084</v>
      </c>
    </row>
    <row r="135" spans="3:4">
      <c r="C135" s="1" t="s">
        <v>1082</v>
      </c>
      <c r="D135" s="1" t="s">
        <v>1086</v>
      </c>
    </row>
    <row r="136" spans="3:4">
      <c r="C136" s="1" t="s">
        <v>1083</v>
      </c>
      <c r="D136" s="1" t="s">
        <v>1085</v>
      </c>
    </row>
    <row r="138" spans="3:4">
      <c r="C138" s="1" t="s">
        <v>1087</v>
      </c>
    </row>
    <row r="139" spans="3:4">
      <c r="C139" s="1" t="s">
        <v>1088</v>
      </c>
    </row>
    <row r="140" spans="3:4">
      <c r="C140" s="1" t="s">
        <v>1090</v>
      </c>
    </row>
    <row r="141" spans="3:4">
      <c r="C141" s="1" t="s">
        <v>1089</v>
      </c>
    </row>
    <row r="143" spans="3:4">
      <c r="C143" s="1" t="s">
        <v>1091</v>
      </c>
      <c r="D143" s="15">
        <v>1000000000</v>
      </c>
    </row>
    <row r="144" spans="3:4">
      <c r="C144" s="1" t="s">
        <v>1082</v>
      </c>
      <c r="D144" s="15">
        <f>D143*0.35</f>
        <v>350000000</v>
      </c>
    </row>
    <row r="145" spans="3:6">
      <c r="C145" s="1" t="s">
        <v>1083</v>
      </c>
      <c r="D145" s="15">
        <f>D143-D144</f>
        <v>650000000</v>
      </c>
    </row>
    <row r="147" spans="3:6">
      <c r="C147" s="90" t="s">
        <v>1093</v>
      </c>
      <c r="D147" s="90"/>
      <c r="E147" s="90"/>
    </row>
    <row r="148" spans="3:6">
      <c r="C148" s="21" t="s">
        <v>46</v>
      </c>
      <c r="D148" s="21" t="s">
        <v>276</v>
      </c>
      <c r="E148" s="21" t="s">
        <v>277</v>
      </c>
    </row>
    <row r="149" spans="3:6">
      <c r="C149" s="4" t="s">
        <v>278</v>
      </c>
      <c r="D149" s="27">
        <f>D144</f>
        <v>350000000</v>
      </c>
      <c r="E149" s="4"/>
    </row>
    <row r="150" spans="3:6">
      <c r="C150" s="4" t="s">
        <v>1092</v>
      </c>
      <c r="D150" s="27">
        <f>D145</f>
        <v>650000000</v>
      </c>
      <c r="E150" s="4"/>
    </row>
    <row r="151" spans="3:6">
      <c r="C151" s="4" t="s">
        <v>1080</v>
      </c>
      <c r="D151" s="4"/>
      <c r="E151" s="27">
        <f>D143</f>
        <v>1000000000</v>
      </c>
    </row>
    <row r="154" spans="3:6">
      <c r="C154" s="1" t="s">
        <v>1080</v>
      </c>
      <c r="D154" s="16">
        <f>E151/1000</f>
        <v>1000000</v>
      </c>
    </row>
    <row r="155" spans="3:6">
      <c r="C155" s="4" t="s">
        <v>1094</v>
      </c>
      <c r="D155" s="4" t="s">
        <v>1095</v>
      </c>
      <c r="E155" s="4" t="s">
        <v>1096</v>
      </c>
      <c r="F155" s="4" t="s">
        <v>1097</v>
      </c>
    </row>
    <row r="156" spans="3:6">
      <c r="C156" s="4" t="s">
        <v>933</v>
      </c>
      <c r="D156" s="64">
        <v>0.45</v>
      </c>
      <c r="E156" s="26">
        <f>1000000*D156</f>
        <v>450000</v>
      </c>
      <c r="F156" s="26">
        <f>E156*1000</f>
        <v>450000000</v>
      </c>
    </row>
    <row r="157" spans="3:6">
      <c r="C157" s="4" t="s">
        <v>934</v>
      </c>
      <c r="D157" s="64">
        <v>0.25</v>
      </c>
      <c r="E157" s="26">
        <f t="shared" ref="E157:E159" si="2">1000000*D157</f>
        <v>250000</v>
      </c>
      <c r="F157" s="26">
        <f t="shared" ref="F157:F159" si="3">E157*1000</f>
        <v>250000000</v>
      </c>
    </row>
    <row r="158" spans="3:6">
      <c r="C158" s="4" t="s">
        <v>935</v>
      </c>
      <c r="D158" s="64">
        <v>0.2</v>
      </c>
      <c r="E158" s="26">
        <f t="shared" si="2"/>
        <v>200000</v>
      </c>
      <c r="F158" s="26">
        <f t="shared" si="3"/>
        <v>200000000</v>
      </c>
    </row>
    <row r="159" spans="3:6">
      <c r="C159" s="4" t="s">
        <v>936</v>
      </c>
      <c r="D159" s="64">
        <v>0.1</v>
      </c>
      <c r="E159" s="26">
        <f t="shared" si="2"/>
        <v>100000</v>
      </c>
      <c r="F159" s="26">
        <f t="shared" si="3"/>
        <v>100000000</v>
      </c>
    </row>
    <row r="160" spans="3:6">
      <c r="C160" s="4"/>
      <c r="D160" s="64">
        <f>SUM(D156:D159)</f>
        <v>0.99999999999999989</v>
      </c>
      <c r="E160" s="27">
        <f>SUM(E156:E159)</f>
        <v>1000000</v>
      </c>
      <c r="F160" s="26">
        <f>SUM(F156:F159)</f>
        <v>1000000000</v>
      </c>
    </row>
    <row r="161" spans="3:6">
      <c r="C161" s="4" t="s">
        <v>1098</v>
      </c>
      <c r="D161" s="4"/>
      <c r="E161" s="4"/>
      <c r="F161" s="26">
        <v>-650000000</v>
      </c>
    </row>
    <row r="162" spans="3:6">
      <c r="C162" s="4" t="s">
        <v>1082</v>
      </c>
      <c r="D162" s="4"/>
      <c r="E162" s="4"/>
      <c r="F162" s="27">
        <f>F160+F161</f>
        <v>350000000</v>
      </c>
    </row>
    <row r="164" spans="3:6">
      <c r="C164" s="1" t="s">
        <v>1099</v>
      </c>
    </row>
    <row r="165" spans="3:6">
      <c r="C165" s="1" t="s">
        <v>1100</v>
      </c>
    </row>
    <row r="166" spans="3:6">
      <c r="C166" s="1" t="s">
        <v>1101</v>
      </c>
    </row>
    <row r="167" spans="3:6">
      <c r="C167" s="1" t="s">
        <v>1102</v>
      </c>
    </row>
    <row r="170" spans="3:6">
      <c r="C170" s="1" t="s">
        <v>1103</v>
      </c>
      <c r="D170" s="1" t="s">
        <v>1104</v>
      </c>
    </row>
    <row r="171" spans="3:6">
      <c r="C171" s="1" t="s">
        <v>1105</v>
      </c>
      <c r="D171" s="1" t="s">
        <v>1106</v>
      </c>
    </row>
    <row r="175" spans="3:6">
      <c r="C175" s="1" t="s">
        <v>1107</v>
      </c>
    </row>
    <row r="177" spans="2:8">
      <c r="C177" s="1" t="s">
        <v>1108</v>
      </c>
      <c r="D177" s="1">
        <v>1000</v>
      </c>
      <c r="E177" s="1" t="s">
        <v>1109</v>
      </c>
    </row>
    <row r="178" spans="2:8">
      <c r="C178" s="1" t="s">
        <v>1110</v>
      </c>
      <c r="D178" s="1">
        <v>800</v>
      </c>
    </row>
    <row r="179" spans="2:8">
      <c r="C179" s="1" t="s">
        <v>1111</v>
      </c>
      <c r="D179" s="1">
        <f>D177-D178</f>
        <v>200</v>
      </c>
      <c r="F179" s="93" t="s">
        <v>1120</v>
      </c>
      <c r="G179" s="93"/>
    </row>
    <row r="180" spans="2:8">
      <c r="F180" s="65"/>
      <c r="G180" s="16">
        <f>F187</f>
        <v>70000000</v>
      </c>
    </row>
    <row r="181" spans="2:8">
      <c r="C181" s="1" t="s">
        <v>653</v>
      </c>
      <c r="F181" s="48"/>
      <c r="G181" s="16">
        <f>E200</f>
        <v>130000000</v>
      </c>
    </row>
    <row r="182" spans="2:8" ht="20.25" thickBot="1">
      <c r="C182" s="1" t="s">
        <v>1112</v>
      </c>
      <c r="F182" s="66"/>
      <c r="G182" s="67">
        <f>SUM(G180:G181)</f>
        <v>200000000</v>
      </c>
    </row>
    <row r="183" spans="2:8" ht="20.25" thickTop="1">
      <c r="C183" s="1" t="s">
        <v>1113</v>
      </c>
    </row>
    <row r="184" spans="2:8">
      <c r="C184" s="1" t="s">
        <v>1114</v>
      </c>
    </row>
    <row r="186" spans="2:8">
      <c r="C186" s="1" t="s">
        <v>1115</v>
      </c>
      <c r="D186" s="1" t="s">
        <v>1116</v>
      </c>
      <c r="E186" s="1" t="s">
        <v>1117</v>
      </c>
      <c r="F186" s="1" t="s">
        <v>1118</v>
      </c>
      <c r="G186" s="1" t="s">
        <v>1119</v>
      </c>
      <c r="H186" s="1" t="s">
        <v>1111</v>
      </c>
    </row>
    <row r="187" spans="2:8">
      <c r="B187" s="1">
        <v>1401</v>
      </c>
      <c r="C187" s="1" t="s">
        <v>933</v>
      </c>
      <c r="D187" s="15">
        <v>70000000</v>
      </c>
      <c r="E187" s="15">
        <v>365</v>
      </c>
      <c r="F187" s="15">
        <f>D187/365*E187</f>
        <v>70000000</v>
      </c>
      <c r="G187" s="15">
        <v>0</v>
      </c>
      <c r="H187" s="15">
        <f>F187-G187</f>
        <v>70000000</v>
      </c>
    </row>
    <row r="188" spans="2:8">
      <c r="B188" s="1">
        <v>1402</v>
      </c>
      <c r="C188" s="1" t="s">
        <v>933</v>
      </c>
      <c r="D188" s="15">
        <v>100000000</v>
      </c>
      <c r="E188" s="15">
        <v>730</v>
      </c>
      <c r="F188" s="15">
        <f>D188/365*E188</f>
        <v>200000000</v>
      </c>
      <c r="G188" s="15">
        <f>H187</f>
        <v>70000000</v>
      </c>
      <c r="H188" s="15">
        <f>F188-G188</f>
        <v>130000000</v>
      </c>
    </row>
    <row r="191" spans="2:8">
      <c r="C191" s="114" t="s">
        <v>275</v>
      </c>
      <c r="D191" s="115"/>
      <c r="E191" s="116"/>
    </row>
    <row r="192" spans="2:8">
      <c r="C192" s="4" t="s">
        <v>46</v>
      </c>
      <c r="D192" s="4" t="s">
        <v>276</v>
      </c>
      <c r="E192" s="4" t="s">
        <v>277</v>
      </c>
    </row>
    <row r="193" spans="3:5">
      <c r="C193" s="4" t="s">
        <v>1121</v>
      </c>
      <c r="D193" s="27">
        <f>H187</f>
        <v>70000000</v>
      </c>
      <c r="E193" s="4"/>
    </row>
    <row r="194" spans="3:5">
      <c r="C194" s="4" t="str">
        <f>F179</f>
        <v>ذخیره مزایای پایان خدمت</v>
      </c>
      <c r="D194" s="4"/>
      <c r="E194" s="27">
        <f>D193</f>
        <v>70000000</v>
      </c>
    </row>
    <row r="197" spans="3:5">
      <c r="C197" s="114" t="s">
        <v>275</v>
      </c>
      <c r="D197" s="115"/>
      <c r="E197" s="116"/>
    </row>
    <row r="198" spans="3:5">
      <c r="C198" s="4" t="s">
        <v>46</v>
      </c>
      <c r="D198" s="4" t="s">
        <v>276</v>
      </c>
      <c r="E198" s="4" t="s">
        <v>277</v>
      </c>
    </row>
    <row r="199" spans="3:5">
      <c r="C199" s="4" t="s">
        <v>1121</v>
      </c>
      <c r="D199" s="27">
        <f>H188</f>
        <v>130000000</v>
      </c>
      <c r="E199" s="4"/>
    </row>
    <row r="200" spans="3:5">
      <c r="C200" s="4">
        <f>F185</f>
        <v>0</v>
      </c>
      <c r="D200" s="4"/>
      <c r="E200" s="27">
        <f>D199</f>
        <v>130000000</v>
      </c>
    </row>
    <row r="203" spans="3:5">
      <c r="C203" s="1" t="s">
        <v>1122</v>
      </c>
    </row>
    <row r="204" spans="3:5">
      <c r="D204" s="3" t="s">
        <v>133</v>
      </c>
      <c r="E204" s="3" t="s">
        <v>1124</v>
      </c>
    </row>
    <row r="205" spans="3:5">
      <c r="C205" s="1" t="s">
        <v>1123</v>
      </c>
      <c r="D205" s="15">
        <f>E208</f>
        <v>70000000</v>
      </c>
      <c r="E205" s="15">
        <v>0</v>
      </c>
    </row>
    <row r="206" spans="3:5">
      <c r="C206" s="1" t="s">
        <v>1125</v>
      </c>
      <c r="D206" s="15">
        <v>0</v>
      </c>
      <c r="E206" s="15">
        <v>0</v>
      </c>
    </row>
    <row r="207" spans="3:5">
      <c r="C207" s="1" t="s">
        <v>1126</v>
      </c>
      <c r="D207" s="15">
        <v>130000000</v>
      </c>
      <c r="E207" s="15">
        <f>H187</f>
        <v>70000000</v>
      </c>
    </row>
    <row r="208" spans="3:5" ht="20.25" thickBot="1">
      <c r="C208" s="1" t="s">
        <v>803</v>
      </c>
      <c r="D208" s="68">
        <f>SUM(D205:D207)</f>
        <v>200000000</v>
      </c>
      <c r="E208" s="68">
        <f>SUM(E205:E207)</f>
        <v>70000000</v>
      </c>
    </row>
    <row r="209" ht="20.25" thickTop="1"/>
  </sheetData>
  <mergeCells count="8">
    <mergeCell ref="C191:E191"/>
    <mergeCell ref="C197:E197"/>
    <mergeCell ref="E55:G55"/>
    <mergeCell ref="D97:E99"/>
    <mergeCell ref="C97:C99"/>
    <mergeCell ref="D100:E100"/>
    <mergeCell ref="C147:E147"/>
    <mergeCell ref="F179:G179"/>
  </mergeCells>
  <pageMargins left="0.7" right="0.7" top="0.75" bottom="0.75" header="0.3" footer="0.3"/>
  <pageSetup orientation="portrait" r:id="rId1"/>
  <headerFooter>
    <oddFooter>&amp;C&amp;"B Zar,Bold"&amp;14&amp;P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2647C-E4E8-4E1F-A7A3-401760530DBF}">
  <dimension ref="A1:L6"/>
  <sheetViews>
    <sheetView rightToLeft="1" topLeftCell="B1" zoomScale="190" zoomScaleNormal="190" workbookViewId="0">
      <selection activeCell="G136" sqref="G136"/>
    </sheetView>
  </sheetViews>
  <sheetFormatPr defaultRowHeight="19.5"/>
  <cols>
    <col min="1" max="1" width="9" style="1"/>
    <col min="2" max="2" width="14.125" style="1" customWidth="1"/>
    <col min="3" max="5" width="9" style="1"/>
    <col min="6" max="6" width="14.125" style="1" bestFit="1" customWidth="1"/>
    <col min="7" max="8" width="9" style="1"/>
    <col min="9" max="9" width="14.125" style="1" bestFit="1" customWidth="1"/>
    <col min="10" max="11" width="9" style="1"/>
    <col min="12" max="12" width="14.125" style="1" bestFit="1" customWidth="1"/>
    <col min="13" max="16384" width="9" style="1"/>
  </cols>
  <sheetData>
    <row r="1" spans="1:12">
      <c r="A1" s="60"/>
      <c r="B1" s="21"/>
      <c r="C1" s="21"/>
      <c r="D1" s="90" t="s">
        <v>907</v>
      </c>
      <c r="E1" s="90"/>
      <c r="F1" s="90"/>
      <c r="G1" s="90" t="s">
        <v>908</v>
      </c>
      <c r="H1" s="90"/>
      <c r="I1" s="90"/>
      <c r="J1" s="90" t="s">
        <v>909</v>
      </c>
      <c r="K1" s="90"/>
      <c r="L1" s="90"/>
    </row>
    <row r="2" spans="1:12">
      <c r="A2" s="60" t="s">
        <v>905</v>
      </c>
      <c r="B2" s="21" t="s">
        <v>906</v>
      </c>
      <c r="C2" s="21" t="s">
        <v>46</v>
      </c>
      <c r="D2" s="21" t="s">
        <v>695</v>
      </c>
      <c r="E2" s="21" t="s">
        <v>489</v>
      </c>
      <c r="F2" s="21" t="s">
        <v>545</v>
      </c>
      <c r="G2" s="21" t="s">
        <v>695</v>
      </c>
      <c r="H2" s="21" t="s">
        <v>489</v>
      </c>
      <c r="I2" s="21" t="s">
        <v>545</v>
      </c>
      <c r="J2" s="21" t="s">
        <v>695</v>
      </c>
      <c r="K2" s="30" t="s">
        <v>489</v>
      </c>
      <c r="L2" s="21" t="s">
        <v>545</v>
      </c>
    </row>
    <row r="3" spans="1:12">
      <c r="A3" s="60">
        <v>1</v>
      </c>
      <c r="B3" s="4" t="s">
        <v>912</v>
      </c>
      <c r="C3" s="4" t="s">
        <v>913</v>
      </c>
      <c r="D3" s="4">
        <v>1000000</v>
      </c>
      <c r="E3" s="26">
        <f>F3/D3</f>
        <v>1356.75</v>
      </c>
      <c r="F3" s="27">
        <f>'07'!F59</f>
        <v>1356750000</v>
      </c>
      <c r="G3" s="4"/>
      <c r="H3" s="4"/>
      <c r="I3" s="4"/>
      <c r="J3" s="26">
        <f>D3</f>
        <v>1000000</v>
      </c>
      <c r="K3" s="26">
        <f>L3/J3</f>
        <v>1356.75</v>
      </c>
      <c r="L3" s="26">
        <f>F3</f>
        <v>1356750000</v>
      </c>
    </row>
    <row r="4" spans="1:12">
      <c r="A4" s="60">
        <v>2</v>
      </c>
      <c r="B4" s="4" t="s">
        <v>910</v>
      </c>
      <c r="C4" s="4" t="s">
        <v>913</v>
      </c>
      <c r="D4" s="4">
        <v>2000000</v>
      </c>
      <c r="E4" s="26">
        <f>F4/D4</f>
        <v>1457.25</v>
      </c>
      <c r="F4" s="27">
        <f>'07'!F69</f>
        <v>2914500000</v>
      </c>
      <c r="G4" s="4"/>
      <c r="H4" s="4"/>
      <c r="I4" s="4"/>
      <c r="J4" s="26">
        <f>J3+D4-G4</f>
        <v>3000000</v>
      </c>
      <c r="K4" s="26">
        <f>L4/J4</f>
        <v>1423.75</v>
      </c>
      <c r="L4" s="26">
        <f>L3+F4-I4</f>
        <v>4271250000</v>
      </c>
    </row>
    <row r="5" spans="1:12">
      <c r="A5" s="60">
        <v>3</v>
      </c>
      <c r="B5" s="4" t="s">
        <v>911</v>
      </c>
      <c r="C5" s="4" t="s">
        <v>914</v>
      </c>
      <c r="D5" s="4"/>
      <c r="E5" s="4"/>
      <c r="F5" s="4"/>
      <c r="G5" s="4">
        <v>1500000</v>
      </c>
      <c r="H5" s="27">
        <f>K4</f>
        <v>1423.75</v>
      </c>
      <c r="I5" s="27">
        <f>G5*H5</f>
        <v>2135625000</v>
      </c>
      <c r="J5" s="26">
        <f t="shared" ref="J5:J6" si="0">J4+D5-G5</f>
        <v>1500000</v>
      </c>
      <c r="K5" s="26">
        <f>L5/J5</f>
        <v>1423.75</v>
      </c>
      <c r="L5" s="26">
        <f t="shared" ref="L5:L6" si="1">L4+F5-I5</f>
        <v>2135625000</v>
      </c>
    </row>
    <row r="6" spans="1:12">
      <c r="B6" s="4" t="s">
        <v>919</v>
      </c>
      <c r="C6" s="4" t="s">
        <v>672</v>
      </c>
      <c r="D6" s="4">
        <v>1500000</v>
      </c>
      <c r="E6" s="4"/>
      <c r="F6" s="4"/>
      <c r="G6" s="4"/>
      <c r="H6" s="4"/>
      <c r="I6" s="4"/>
      <c r="J6" s="26">
        <f t="shared" si="0"/>
        <v>3000000</v>
      </c>
      <c r="K6" s="26">
        <f>L6/J6</f>
        <v>711.875</v>
      </c>
      <c r="L6" s="26">
        <f t="shared" si="1"/>
        <v>2135625000</v>
      </c>
    </row>
  </sheetData>
  <mergeCells count="3">
    <mergeCell ref="D1:F1"/>
    <mergeCell ref="G1:I1"/>
    <mergeCell ref="J1:L1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7F3B7-FFA0-4798-BD9D-065AC2FC92F1}">
  <dimension ref="A1:L9"/>
  <sheetViews>
    <sheetView rightToLeft="1" topLeftCell="B1" zoomScale="190" zoomScaleNormal="190" workbookViewId="0">
      <selection activeCell="G136" sqref="G136"/>
    </sheetView>
  </sheetViews>
  <sheetFormatPr defaultRowHeight="19.5"/>
  <cols>
    <col min="1" max="1" width="9" style="1"/>
    <col min="2" max="2" width="14.125" style="1" customWidth="1"/>
    <col min="3" max="5" width="9" style="1"/>
    <col min="6" max="6" width="14.125" style="1" bestFit="1" customWidth="1"/>
    <col min="7" max="8" width="9" style="1"/>
    <col min="9" max="9" width="14.125" style="1" bestFit="1" customWidth="1"/>
    <col min="10" max="11" width="9" style="1"/>
    <col min="12" max="12" width="14.125" style="1" bestFit="1" customWidth="1"/>
    <col min="13" max="16384" width="9" style="1"/>
  </cols>
  <sheetData>
    <row r="1" spans="1:12">
      <c r="A1" s="60"/>
      <c r="B1" s="21"/>
      <c r="C1" s="21"/>
      <c r="D1" s="90" t="s">
        <v>907</v>
      </c>
      <c r="E1" s="90"/>
      <c r="F1" s="90"/>
      <c r="G1" s="90" t="s">
        <v>908</v>
      </c>
      <c r="H1" s="90"/>
      <c r="I1" s="90"/>
      <c r="J1" s="90" t="s">
        <v>909</v>
      </c>
      <c r="K1" s="90"/>
      <c r="L1" s="90"/>
    </row>
    <row r="2" spans="1:12">
      <c r="A2" s="60" t="s">
        <v>905</v>
      </c>
      <c r="B2" s="21" t="s">
        <v>906</v>
      </c>
      <c r="C2" s="21" t="s">
        <v>46</v>
      </c>
      <c r="D2" s="21" t="s">
        <v>695</v>
      </c>
      <c r="E2" s="21" t="s">
        <v>489</v>
      </c>
      <c r="F2" s="21" t="s">
        <v>545</v>
      </c>
      <c r="G2" s="21" t="s">
        <v>695</v>
      </c>
      <c r="H2" s="21" t="s">
        <v>489</v>
      </c>
      <c r="I2" s="21" t="s">
        <v>545</v>
      </c>
      <c r="J2" s="21" t="s">
        <v>695</v>
      </c>
      <c r="K2" s="30" t="s">
        <v>489</v>
      </c>
      <c r="L2" s="21" t="s">
        <v>545</v>
      </c>
    </row>
    <row r="3" spans="1:12">
      <c r="A3" s="60">
        <v>1</v>
      </c>
      <c r="B3" s="4">
        <f>'08'!B48</f>
        <v>1</v>
      </c>
      <c r="C3" s="4" t="str">
        <f>'08'!C48</f>
        <v xml:space="preserve">خرید </v>
      </c>
      <c r="D3" s="4">
        <f>'08'!D48</f>
        <v>100</v>
      </c>
      <c r="E3" s="26">
        <f>IFERROR(F3/D3,"")</f>
        <v>10020000</v>
      </c>
      <c r="F3" s="27">
        <f>'08'!F57</f>
        <v>1002000000</v>
      </c>
      <c r="G3" s="4"/>
      <c r="H3" s="4"/>
      <c r="I3" s="4"/>
      <c r="J3" s="26">
        <f>D3</f>
        <v>100</v>
      </c>
      <c r="K3" s="26">
        <f>L3/J3</f>
        <v>10020000</v>
      </c>
      <c r="L3" s="26">
        <f>F3</f>
        <v>1002000000</v>
      </c>
    </row>
    <row r="4" spans="1:12">
      <c r="A4" s="60">
        <v>2</v>
      </c>
      <c r="B4" s="4">
        <f>'08'!B49</f>
        <v>2</v>
      </c>
      <c r="C4" s="4" t="str">
        <f>'08'!C49</f>
        <v xml:space="preserve">خرید </v>
      </c>
      <c r="D4" s="4">
        <f>'08'!D49</f>
        <v>150</v>
      </c>
      <c r="E4" s="26">
        <f t="shared" ref="E4:E7" si="0">IFERROR(F4/D4,"")</f>
        <v>12013333.333333334</v>
      </c>
      <c r="F4" s="27">
        <f>'08'!F59</f>
        <v>1802000000</v>
      </c>
      <c r="G4" s="4"/>
      <c r="H4" s="4"/>
      <c r="I4" s="4"/>
      <c r="J4" s="26">
        <f>J3+D4-G4</f>
        <v>250</v>
      </c>
      <c r="K4" s="26">
        <f>L4/J4</f>
        <v>11216000</v>
      </c>
      <c r="L4" s="26">
        <f>L3+F4-I4</f>
        <v>2804000000</v>
      </c>
    </row>
    <row r="5" spans="1:12">
      <c r="A5" s="60">
        <v>3</v>
      </c>
      <c r="B5" s="4">
        <f>'08'!B50</f>
        <v>3</v>
      </c>
      <c r="C5" s="4" t="str">
        <f>'08'!C50</f>
        <v>فروش</v>
      </c>
      <c r="D5" s="4"/>
      <c r="E5" s="26" t="str">
        <f t="shared" si="0"/>
        <v/>
      </c>
      <c r="F5" s="4"/>
      <c r="G5" s="4">
        <v>120</v>
      </c>
      <c r="H5" s="27">
        <f>K4</f>
        <v>11216000</v>
      </c>
      <c r="I5" s="27">
        <f>G5*H5</f>
        <v>1345920000</v>
      </c>
      <c r="J5" s="26">
        <f t="shared" ref="J5:J6" si="1">J4+D5-G5</f>
        <v>130</v>
      </c>
      <c r="K5" s="26">
        <f>L5/J5</f>
        <v>11216000</v>
      </c>
      <c r="L5" s="26">
        <f t="shared" ref="L5:L6" si="2">L4+F5-I5</f>
        <v>1458080000</v>
      </c>
    </row>
    <row r="6" spans="1:12">
      <c r="B6" s="4">
        <f>'08'!B51</f>
        <v>4</v>
      </c>
      <c r="C6" s="4" t="str">
        <f>'08'!C51</f>
        <v xml:space="preserve">خرید </v>
      </c>
      <c r="D6" s="4">
        <f>'08'!D51</f>
        <v>160</v>
      </c>
      <c r="E6" s="26">
        <f t="shared" si="0"/>
        <v>13025000</v>
      </c>
      <c r="F6" s="27">
        <f>'08'!F67</f>
        <v>2084000000</v>
      </c>
      <c r="G6" s="4"/>
      <c r="H6" s="27"/>
      <c r="I6" s="27">
        <f t="shared" ref="I6:I7" si="3">G6*H6</f>
        <v>0</v>
      </c>
      <c r="J6" s="26">
        <f t="shared" si="1"/>
        <v>290</v>
      </c>
      <c r="K6" s="26">
        <f>L6/J6</f>
        <v>12214068.965517242</v>
      </c>
      <c r="L6" s="26">
        <f t="shared" si="2"/>
        <v>3542080000</v>
      </c>
    </row>
    <row r="7" spans="1:12">
      <c r="B7" s="4">
        <f>'08'!B52</f>
        <v>5</v>
      </c>
      <c r="C7" s="4" t="str">
        <f>'08'!C52</f>
        <v>فروش</v>
      </c>
      <c r="D7" s="4"/>
      <c r="E7" s="26" t="str">
        <f t="shared" si="0"/>
        <v/>
      </c>
      <c r="F7" s="4"/>
      <c r="G7" s="4">
        <v>150</v>
      </c>
      <c r="H7" s="27">
        <f t="shared" ref="H7" si="4">K6</f>
        <v>12214068.965517242</v>
      </c>
      <c r="I7" s="27">
        <f t="shared" si="3"/>
        <v>1832110344.8275862</v>
      </c>
      <c r="J7" s="26">
        <f t="shared" ref="J7" si="5">J6+D7-G7</f>
        <v>140</v>
      </c>
      <c r="K7" s="26">
        <f>L7/J7</f>
        <v>12214068.965517242</v>
      </c>
      <c r="L7" s="26">
        <f t="shared" ref="L7" si="6">L6+F7-I7</f>
        <v>1709969655.1724138</v>
      </c>
    </row>
    <row r="8" spans="1:12">
      <c r="B8" s="4"/>
      <c r="C8" s="4"/>
      <c r="D8" s="4"/>
      <c r="E8" s="4"/>
      <c r="F8" s="27">
        <f>SUM(F3:F7)</f>
        <v>4888000000</v>
      </c>
      <c r="G8" s="4"/>
      <c r="H8" s="4"/>
      <c r="I8" s="27">
        <f>SUM(I3:I7)</f>
        <v>3178030344.8275862</v>
      </c>
      <c r="J8" s="4"/>
      <c r="K8" s="4"/>
      <c r="L8" s="4"/>
    </row>
    <row r="9" spans="1:12">
      <c r="F9" s="1" t="s">
        <v>1047</v>
      </c>
      <c r="I9" s="1" t="s">
        <v>1048</v>
      </c>
    </row>
  </sheetData>
  <mergeCells count="3">
    <mergeCell ref="D1:F1"/>
    <mergeCell ref="G1:I1"/>
    <mergeCell ref="J1:L1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DD5D2-151E-4DF8-88F5-46E94FEFC899}">
  <dimension ref="A1:I119"/>
  <sheetViews>
    <sheetView rightToLeft="1" zoomScale="160" zoomScaleNormal="160" workbookViewId="0">
      <pane ySplit="1" topLeftCell="A31" activePane="bottomLeft" state="frozen"/>
      <selection activeCell="G136" sqref="G136"/>
      <selection pane="bottomLeft" activeCell="G136" sqref="G136"/>
    </sheetView>
  </sheetViews>
  <sheetFormatPr defaultRowHeight="19.5"/>
  <cols>
    <col min="1" max="2" width="9" style="1"/>
    <col min="3" max="3" width="30.625" style="1" customWidth="1"/>
    <col min="4" max="4" width="17.25" style="1" customWidth="1"/>
    <col min="5" max="5" width="13.625" style="1" customWidth="1"/>
    <col min="6" max="6" width="19.5" style="1" customWidth="1"/>
    <col min="7" max="7" width="14.375" style="1" customWidth="1"/>
    <col min="8" max="8" width="9" style="1" customWidth="1"/>
    <col min="9" max="9" width="10.75" style="1" customWidth="1"/>
    <col min="10" max="16384" width="9" style="1"/>
  </cols>
  <sheetData>
    <row r="1" spans="1:5" ht="24" customHeight="1">
      <c r="A1" s="2" t="e" vm="1">
        <v>#VALUE!</v>
      </c>
      <c r="B1" s="1" t="s">
        <v>2</v>
      </c>
      <c r="D1" s="1" t="s">
        <v>1127</v>
      </c>
      <c r="E1" s="1" t="s">
        <v>0</v>
      </c>
    </row>
    <row r="4" spans="1:5">
      <c r="B4" s="1">
        <v>1</v>
      </c>
      <c r="C4" s="1" t="s">
        <v>1128</v>
      </c>
      <c r="D4" s="1" t="s">
        <v>1129</v>
      </c>
      <c r="E4" s="1" t="s">
        <v>1130</v>
      </c>
    </row>
    <row r="6" spans="1:5">
      <c r="B6" s="1">
        <v>2</v>
      </c>
      <c r="C6" s="1" t="s">
        <v>1131</v>
      </c>
      <c r="D6" s="1" t="s">
        <v>1132</v>
      </c>
      <c r="E6" s="1" t="s">
        <v>1133</v>
      </c>
    </row>
    <row r="8" spans="1:5">
      <c r="B8" s="1">
        <v>3</v>
      </c>
      <c r="C8" s="1" t="s">
        <v>1134</v>
      </c>
      <c r="D8" s="1" t="s">
        <v>1135</v>
      </c>
      <c r="E8" s="1" t="s">
        <v>1136</v>
      </c>
    </row>
    <row r="10" spans="1:5">
      <c r="B10" s="1">
        <v>4</v>
      </c>
      <c r="C10" s="1" t="s">
        <v>863</v>
      </c>
      <c r="D10" s="1" t="s">
        <v>1137</v>
      </c>
      <c r="E10" s="1" t="s">
        <v>1138</v>
      </c>
    </row>
    <row r="13" spans="1:5">
      <c r="B13" s="1" t="s">
        <v>14</v>
      </c>
    </row>
    <row r="14" spans="1:5">
      <c r="B14" s="1" t="s">
        <v>1139</v>
      </c>
    </row>
    <row r="15" spans="1:5">
      <c r="B15" s="1" t="s">
        <v>1140</v>
      </c>
    </row>
    <row r="16" spans="1:5">
      <c r="C16" s="92" t="s">
        <v>1141</v>
      </c>
      <c r="D16" s="92"/>
      <c r="E16" s="92"/>
    </row>
    <row r="17" spans="2:6" ht="20.25" thickBot="1">
      <c r="C17" s="1" t="s">
        <v>665</v>
      </c>
      <c r="E17" s="1">
        <v>1000</v>
      </c>
    </row>
    <row r="18" spans="2:6">
      <c r="C18" s="1" t="s">
        <v>666</v>
      </c>
      <c r="E18" s="43">
        <v>3000</v>
      </c>
    </row>
    <row r="19" spans="2:6">
      <c r="C19" s="1" t="s">
        <v>667</v>
      </c>
      <c r="E19" s="44">
        <v>-200</v>
      </c>
    </row>
    <row r="20" spans="2:6" ht="20.25" thickBot="1">
      <c r="C20" s="1" t="s">
        <v>668</v>
      </c>
      <c r="E20" s="45">
        <f>E18+E19</f>
        <v>2800</v>
      </c>
    </row>
    <row r="21" spans="2:6">
      <c r="C21" s="1" t="s">
        <v>669</v>
      </c>
      <c r="E21" s="1">
        <f>E17+E20</f>
        <v>3800</v>
      </c>
    </row>
    <row r="22" spans="2:6">
      <c r="C22" s="1" t="s">
        <v>671</v>
      </c>
      <c r="E22" s="1">
        <v>-700</v>
      </c>
    </row>
    <row r="23" spans="2:6">
      <c r="C23" s="1" t="s">
        <v>672</v>
      </c>
      <c r="E23" s="1">
        <v>-1000</v>
      </c>
    </row>
    <row r="24" spans="2:6">
      <c r="C24" s="1" t="s">
        <v>670</v>
      </c>
      <c r="E24" s="1">
        <v>-100</v>
      </c>
    </row>
    <row r="25" spans="2:6">
      <c r="C25" s="1" t="s">
        <v>1142</v>
      </c>
      <c r="E25" s="1">
        <v>0</v>
      </c>
    </row>
    <row r="26" spans="2:6" ht="20.25" thickBot="1">
      <c r="C26" s="1" t="s">
        <v>673</v>
      </c>
      <c r="E26" s="42">
        <f>SUM(E21:E25)</f>
        <v>2000</v>
      </c>
      <c r="F26" s="1" t="s">
        <v>1143</v>
      </c>
    </row>
    <row r="27" spans="2:6" ht="20.25" thickTop="1"/>
    <row r="28" spans="2:6">
      <c r="B28" s="1" t="s">
        <v>12</v>
      </c>
    </row>
    <row r="29" spans="2:6">
      <c r="B29" s="1" t="s">
        <v>1144</v>
      </c>
    </row>
    <row r="30" spans="2:6">
      <c r="B30" s="1" t="s">
        <v>1145</v>
      </c>
    </row>
    <row r="31" spans="2:6">
      <c r="B31" s="1" t="s">
        <v>1146</v>
      </c>
    </row>
    <row r="32" spans="2:6">
      <c r="B32" s="1" t="s">
        <v>1147</v>
      </c>
    </row>
    <row r="33" spans="2:8">
      <c r="B33" s="22"/>
      <c r="C33" s="22" t="s">
        <v>46</v>
      </c>
      <c r="D33" s="22" t="s">
        <v>1080</v>
      </c>
      <c r="E33" s="22" t="s">
        <v>1149</v>
      </c>
      <c r="F33" s="22" t="s">
        <v>1150</v>
      </c>
      <c r="G33" s="22" t="s">
        <v>707</v>
      </c>
      <c r="H33" s="22" t="s">
        <v>708</v>
      </c>
    </row>
    <row r="34" spans="2:8">
      <c r="B34" s="69">
        <v>1</v>
      </c>
      <c r="C34" s="69" t="s">
        <v>1148</v>
      </c>
      <c r="D34" s="70">
        <v>1000</v>
      </c>
      <c r="E34" s="70">
        <v>100</v>
      </c>
      <c r="F34" s="70">
        <v>3000</v>
      </c>
      <c r="G34" s="70">
        <v>4000</v>
      </c>
      <c r="H34" s="70">
        <f>SUM(D34:G34)</f>
        <v>8100</v>
      </c>
    </row>
    <row r="35" spans="2:8">
      <c r="B35" s="71">
        <v>2</v>
      </c>
      <c r="C35" s="71" t="s">
        <v>1151</v>
      </c>
      <c r="D35" s="71"/>
      <c r="E35" s="71"/>
      <c r="F35" s="71"/>
      <c r="G35" s="71"/>
      <c r="H35" s="72">
        <f t="shared" ref="H35:H42" si="0">SUM(D35:G35)</f>
        <v>0</v>
      </c>
    </row>
    <row r="36" spans="2:8">
      <c r="B36" s="71"/>
      <c r="C36" s="71" t="s">
        <v>665</v>
      </c>
      <c r="D36" s="71"/>
      <c r="E36" s="71"/>
      <c r="F36" s="71"/>
      <c r="G36" s="71">
        <v>5000</v>
      </c>
      <c r="H36" s="72">
        <f t="shared" si="0"/>
        <v>5000</v>
      </c>
    </row>
    <row r="37" spans="2:8">
      <c r="B37" s="71"/>
      <c r="C37" s="71" t="s">
        <v>1152</v>
      </c>
      <c r="D37" s="71"/>
      <c r="E37" s="71"/>
      <c r="F37" s="71"/>
      <c r="G37" s="71">
        <v>100</v>
      </c>
      <c r="H37" s="72">
        <f t="shared" si="0"/>
        <v>100</v>
      </c>
    </row>
    <row r="38" spans="2:8">
      <c r="B38" s="73">
        <v>3</v>
      </c>
      <c r="C38" s="73" t="s">
        <v>1153</v>
      </c>
      <c r="D38" s="73"/>
      <c r="E38" s="73"/>
      <c r="F38" s="73"/>
      <c r="G38" s="73"/>
      <c r="H38" s="74">
        <f t="shared" si="0"/>
        <v>0</v>
      </c>
    </row>
    <row r="39" spans="2:8">
      <c r="B39" s="73"/>
      <c r="C39" s="73" t="s">
        <v>672</v>
      </c>
      <c r="D39" s="73">
        <v>2000</v>
      </c>
      <c r="E39" s="73"/>
      <c r="F39" s="73"/>
      <c r="G39" s="73"/>
      <c r="H39" s="74">
        <f t="shared" si="0"/>
        <v>2000</v>
      </c>
    </row>
    <row r="40" spans="2:8">
      <c r="B40" s="73"/>
      <c r="C40" s="73" t="s">
        <v>1154</v>
      </c>
      <c r="D40" s="73"/>
      <c r="E40" s="73"/>
      <c r="F40" s="73"/>
      <c r="G40" s="73">
        <v>-800</v>
      </c>
      <c r="H40" s="74">
        <f t="shared" si="0"/>
        <v>-800</v>
      </c>
    </row>
    <row r="41" spans="2:8">
      <c r="B41" s="73"/>
      <c r="C41" s="73" t="s">
        <v>1155</v>
      </c>
      <c r="D41" s="73"/>
      <c r="E41" s="73">
        <v>500</v>
      </c>
      <c r="F41" s="73"/>
      <c r="G41" s="73">
        <v>-500</v>
      </c>
      <c r="H41" s="74">
        <f t="shared" si="0"/>
        <v>0</v>
      </c>
    </row>
    <row r="42" spans="2:8">
      <c r="B42" s="73"/>
      <c r="C42" s="73" t="s">
        <v>1156</v>
      </c>
      <c r="D42" s="73">
        <v>3000</v>
      </c>
      <c r="E42" s="73"/>
      <c r="F42" s="73">
        <v>-3000</v>
      </c>
      <c r="G42" s="73"/>
      <c r="H42" s="74">
        <f t="shared" si="0"/>
        <v>0</v>
      </c>
    </row>
    <row r="43" spans="2:8">
      <c r="B43" s="4">
        <v>4</v>
      </c>
      <c r="C43" s="4" t="s">
        <v>1157</v>
      </c>
      <c r="D43" s="27">
        <f>SUM(D34:D42)</f>
        <v>6000</v>
      </c>
      <c r="E43" s="27">
        <f t="shared" ref="E43:G43" si="1">SUM(E34:E42)</f>
        <v>600</v>
      </c>
      <c r="F43" s="27">
        <f t="shared" si="1"/>
        <v>0</v>
      </c>
      <c r="G43" s="27">
        <f t="shared" si="1"/>
        <v>7800</v>
      </c>
      <c r="H43" s="70">
        <f>SUM(D43:G43)</f>
        <v>14400</v>
      </c>
    </row>
    <row r="45" spans="2:8">
      <c r="H45" s="1" t="s">
        <v>1186</v>
      </c>
    </row>
    <row r="46" spans="2:8">
      <c r="C46" s="1" t="s">
        <v>1158</v>
      </c>
      <c r="G46" s="1" t="s">
        <v>1168</v>
      </c>
      <c r="H46" s="1" t="s">
        <v>1161</v>
      </c>
    </row>
    <row r="47" spans="2:8">
      <c r="C47" s="1" t="s">
        <v>1159</v>
      </c>
      <c r="F47" s="1" t="s">
        <v>86</v>
      </c>
      <c r="G47" s="15">
        <f>H47*1.5</f>
        <v>1500</v>
      </c>
      <c r="H47" s="15">
        <v>1000</v>
      </c>
    </row>
    <row r="48" spans="2:8">
      <c r="C48" s="1" t="s">
        <v>1160</v>
      </c>
      <c r="F48" s="1" t="s">
        <v>214</v>
      </c>
      <c r="G48" s="15">
        <f>H48*1.5</f>
        <v>-900</v>
      </c>
      <c r="H48" s="15">
        <v>-600</v>
      </c>
    </row>
    <row r="49" spans="3:8">
      <c r="C49" s="1" t="s">
        <v>1163</v>
      </c>
      <c r="F49" s="1" t="s">
        <v>530</v>
      </c>
      <c r="G49" s="15">
        <v>-130</v>
      </c>
      <c r="H49" s="15">
        <v>-100</v>
      </c>
    </row>
    <row r="50" spans="3:8">
      <c r="C50" s="1" t="s">
        <v>1164</v>
      </c>
      <c r="D50" s="1">
        <v>100</v>
      </c>
      <c r="F50" s="1" t="s">
        <v>1162</v>
      </c>
      <c r="G50" s="15">
        <f>SUM(G47:G49)</f>
        <v>470</v>
      </c>
      <c r="H50" s="15">
        <f>SUM(H47:H49)</f>
        <v>300</v>
      </c>
    </row>
    <row r="51" spans="3:8">
      <c r="F51" s="92" t="s">
        <v>1169</v>
      </c>
      <c r="G51" s="92"/>
      <c r="H51" s="92"/>
    </row>
    <row r="52" spans="3:8" ht="20.25" thickBot="1">
      <c r="C52" s="90" t="s">
        <v>1167</v>
      </c>
      <c r="D52" s="90"/>
      <c r="E52" s="90"/>
      <c r="F52" s="1" t="s">
        <v>665</v>
      </c>
      <c r="G52" s="16">
        <f>G50</f>
        <v>470</v>
      </c>
      <c r="H52" s="16">
        <f>H50</f>
        <v>300</v>
      </c>
    </row>
    <row r="53" spans="3:8">
      <c r="C53" s="21" t="s">
        <v>46</v>
      </c>
      <c r="D53" s="21" t="s">
        <v>276</v>
      </c>
      <c r="E53" s="21" t="s">
        <v>277</v>
      </c>
      <c r="F53" s="1" t="s">
        <v>1170</v>
      </c>
      <c r="G53" s="75">
        <v>1250</v>
      </c>
      <c r="H53" s="43">
        <v>1000</v>
      </c>
    </row>
    <row r="54" spans="3:8">
      <c r="C54" s="4" t="s">
        <v>1165</v>
      </c>
      <c r="D54" s="4">
        <v>100</v>
      </c>
      <c r="E54" s="4"/>
      <c r="F54" s="1" t="s">
        <v>667</v>
      </c>
      <c r="G54" s="1">
        <v>-100</v>
      </c>
      <c r="H54" s="44">
        <v>-150</v>
      </c>
    </row>
    <row r="55" spans="3:8" ht="20.25" thickBot="1">
      <c r="C55" s="4" t="s">
        <v>1166</v>
      </c>
      <c r="D55" s="4"/>
      <c r="E55" s="4">
        <v>100</v>
      </c>
      <c r="F55" s="1" t="s">
        <v>1171</v>
      </c>
      <c r="G55" s="75">
        <f>SUM(G53:G54)</f>
        <v>1150</v>
      </c>
      <c r="H55" s="45">
        <f>SUM(H53:H54)</f>
        <v>850</v>
      </c>
    </row>
    <row r="56" spans="3:8">
      <c r="F56" s="1" t="s">
        <v>1172</v>
      </c>
      <c r="G56" s="16">
        <f>G52+G55</f>
        <v>1620</v>
      </c>
      <c r="H56" s="75">
        <f>H52+H55</f>
        <v>1150</v>
      </c>
    </row>
    <row r="57" spans="3:8">
      <c r="C57" s="1" t="s">
        <v>1164</v>
      </c>
      <c r="D57" s="1">
        <v>130</v>
      </c>
    </row>
    <row r="58" spans="3:8">
      <c r="C58" s="90" t="s">
        <v>1167</v>
      </c>
      <c r="D58" s="90"/>
      <c r="E58" s="90"/>
    </row>
    <row r="59" spans="3:8">
      <c r="C59" s="21" t="s">
        <v>46</v>
      </c>
      <c r="D59" s="21" t="s">
        <v>276</v>
      </c>
      <c r="E59" s="21" t="s">
        <v>277</v>
      </c>
    </row>
    <row r="60" spans="3:8">
      <c r="C60" s="4" t="s">
        <v>530</v>
      </c>
      <c r="D60" s="4">
        <v>130</v>
      </c>
      <c r="E60" s="4"/>
    </row>
    <row r="61" spans="3:8">
      <c r="C61" s="4" t="s">
        <v>1166</v>
      </c>
      <c r="D61" s="4"/>
      <c r="E61" s="4">
        <f>D60</f>
        <v>130</v>
      </c>
    </row>
    <row r="63" spans="3:8">
      <c r="C63" s="1" t="s">
        <v>1173</v>
      </c>
    </row>
    <row r="64" spans="3:8">
      <c r="C64" s="1" t="s">
        <v>1174</v>
      </c>
    </row>
    <row r="66" spans="2:5">
      <c r="C66" s="90" t="s">
        <v>1167</v>
      </c>
      <c r="D66" s="90"/>
      <c r="E66" s="90"/>
    </row>
    <row r="67" spans="2:5">
      <c r="C67" s="21" t="s">
        <v>46</v>
      </c>
      <c r="D67" s="21" t="s">
        <v>276</v>
      </c>
      <c r="E67" s="21" t="s">
        <v>277</v>
      </c>
    </row>
    <row r="68" spans="2:5">
      <c r="C68" s="4" t="s">
        <v>530</v>
      </c>
      <c r="D68" s="4">
        <v>100</v>
      </c>
      <c r="E68" s="4"/>
    </row>
    <row r="69" spans="2:5">
      <c r="C69" s="4" t="s">
        <v>1166</v>
      </c>
      <c r="D69" s="4"/>
      <c r="E69" s="4">
        <v>100</v>
      </c>
    </row>
    <row r="71" spans="2:5">
      <c r="C71" s="1" t="s">
        <v>1175</v>
      </c>
    </row>
    <row r="72" spans="2:5">
      <c r="C72" s="1" t="s">
        <v>1176</v>
      </c>
    </row>
    <row r="74" spans="2:5">
      <c r="B74" s="1" t="s">
        <v>1180</v>
      </c>
      <c r="C74" s="1" t="s">
        <v>1177</v>
      </c>
    </row>
    <row r="75" spans="2:5">
      <c r="C75" s="1" t="s">
        <v>1178</v>
      </c>
    </row>
    <row r="76" spans="2:5">
      <c r="C76" s="1" t="s">
        <v>1179</v>
      </c>
    </row>
    <row r="78" spans="2:5">
      <c r="B78" s="1" t="s">
        <v>1181</v>
      </c>
      <c r="C78" s="1" t="s">
        <v>1182</v>
      </c>
    </row>
    <row r="79" spans="2:5">
      <c r="C79" s="1" t="s">
        <v>1183</v>
      </c>
    </row>
    <row r="80" spans="2:5">
      <c r="C80" s="1" t="s">
        <v>1184</v>
      </c>
    </row>
    <row r="81" spans="3:9">
      <c r="C81" s="1" t="s">
        <v>1185</v>
      </c>
    </row>
    <row r="83" spans="3:9">
      <c r="C83" s="1" t="s">
        <v>1187</v>
      </c>
    </row>
    <row r="84" spans="3:9">
      <c r="E84" s="92" t="s">
        <v>802</v>
      </c>
      <c r="F84" s="92"/>
      <c r="G84" s="92"/>
      <c r="H84" s="92"/>
    </row>
    <row r="85" spans="3:9">
      <c r="C85" s="1" t="s">
        <v>46</v>
      </c>
      <c r="D85" s="1" t="s">
        <v>1188</v>
      </c>
      <c r="E85" s="1" t="s">
        <v>1189</v>
      </c>
      <c r="F85" s="1" t="s">
        <v>1190</v>
      </c>
      <c r="G85" s="1" t="s">
        <v>1191</v>
      </c>
      <c r="H85" s="1" t="s">
        <v>708</v>
      </c>
      <c r="I85" s="1" t="s">
        <v>1192</v>
      </c>
    </row>
    <row r="86" spans="3:9">
      <c r="C86" s="1" t="s">
        <v>530</v>
      </c>
      <c r="D86" s="1">
        <v>0</v>
      </c>
      <c r="E86" s="1">
        <v>-100</v>
      </c>
      <c r="H86" s="1">
        <f>SUM(E86:G86)</f>
        <v>-100</v>
      </c>
      <c r="I86" s="1">
        <v>-100</v>
      </c>
    </row>
    <row r="88" spans="3:9">
      <c r="C88" s="1" t="s">
        <v>667</v>
      </c>
    </row>
    <row r="89" spans="3:9">
      <c r="C89" s="1" t="s">
        <v>1193</v>
      </c>
    </row>
    <row r="91" spans="3:9">
      <c r="C91" s="1" t="s">
        <v>312</v>
      </c>
    </row>
    <row r="92" spans="3:9">
      <c r="C92" s="1" t="s">
        <v>1194</v>
      </c>
    </row>
    <row r="94" spans="3:9">
      <c r="C94" s="1" t="s">
        <v>667</v>
      </c>
    </row>
    <row r="95" spans="3:9">
      <c r="C95" s="1" t="s">
        <v>1193</v>
      </c>
    </row>
    <row r="97" spans="3:4">
      <c r="C97" s="1" t="s">
        <v>1195</v>
      </c>
      <c r="D97" s="1" t="s">
        <v>1196</v>
      </c>
    </row>
    <row r="98" spans="3:4">
      <c r="D98" s="1" t="s">
        <v>1197</v>
      </c>
    </row>
    <row r="99" spans="3:4">
      <c r="D99" s="1" t="s">
        <v>1198</v>
      </c>
    </row>
    <row r="100" spans="3:4">
      <c r="C100" s="1" t="s">
        <v>1199</v>
      </c>
    </row>
    <row r="101" spans="3:4">
      <c r="C101" s="1" t="s">
        <v>1200</v>
      </c>
    </row>
    <row r="102" spans="3:4">
      <c r="C102" s="1" t="s">
        <v>1201</v>
      </c>
    </row>
    <row r="103" spans="3:4">
      <c r="C103" s="1" t="s">
        <v>1202</v>
      </c>
    </row>
    <row r="104" spans="3:4">
      <c r="C104" s="1" t="s">
        <v>1203</v>
      </c>
    </row>
    <row r="106" spans="3:4">
      <c r="C106" s="1" t="s">
        <v>1205</v>
      </c>
    </row>
    <row r="107" spans="3:4">
      <c r="C107" s="1" t="s">
        <v>1204</v>
      </c>
    </row>
    <row r="109" spans="3:4">
      <c r="C109" s="1" t="s">
        <v>1206</v>
      </c>
    </row>
    <row r="110" spans="3:4">
      <c r="C110" s="1" t="s">
        <v>1207</v>
      </c>
    </row>
    <row r="111" spans="3:4">
      <c r="C111" s="1">
        <v>10</v>
      </c>
    </row>
    <row r="112" spans="3:4">
      <c r="C112" s="1">
        <v>12</v>
      </c>
    </row>
    <row r="113" spans="3:3">
      <c r="C113" s="1" t="s">
        <v>1208</v>
      </c>
    </row>
    <row r="115" spans="3:3">
      <c r="C115" s="1" t="s">
        <v>847</v>
      </c>
    </row>
    <row r="116" spans="3:3">
      <c r="C116" s="1" t="s">
        <v>1209</v>
      </c>
    </row>
    <row r="117" spans="3:3">
      <c r="C117" s="1" t="s">
        <v>276</v>
      </c>
    </row>
    <row r="118" spans="3:3">
      <c r="C118" s="1" t="s">
        <v>277</v>
      </c>
    </row>
    <row r="119" spans="3:3">
      <c r="C119" s="1" t="s">
        <v>1210</v>
      </c>
    </row>
  </sheetData>
  <mergeCells count="6">
    <mergeCell ref="E84:H84"/>
    <mergeCell ref="C16:E16"/>
    <mergeCell ref="C52:E52"/>
    <mergeCell ref="C58:E58"/>
    <mergeCell ref="F51:H51"/>
    <mergeCell ref="C66:E66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C2FD4-803A-4BA7-ADBE-1AFC42EB74F3}">
  <dimension ref="A1:E136"/>
  <sheetViews>
    <sheetView rightToLeft="1" zoomScale="180" zoomScaleNormal="180" workbookViewId="0">
      <pane ySplit="1" topLeftCell="A131" activePane="bottomLeft" state="frozen"/>
      <selection activeCell="G136" sqref="G136"/>
      <selection pane="bottomLeft" activeCell="G136" sqref="G136"/>
    </sheetView>
  </sheetViews>
  <sheetFormatPr defaultRowHeight="19.5"/>
  <cols>
    <col min="1" max="2" width="9" style="1"/>
    <col min="3" max="3" width="24.125" style="1" customWidth="1"/>
    <col min="4" max="4" width="24.25" style="1" customWidth="1"/>
    <col min="5" max="5" width="26.875" style="1" customWidth="1"/>
    <col min="6" max="6" width="16.875" style="1" customWidth="1"/>
    <col min="7" max="7" width="14.375" style="1" customWidth="1"/>
    <col min="8" max="16384" width="9" style="1"/>
  </cols>
  <sheetData>
    <row r="1" spans="1:5" ht="24" customHeight="1">
      <c r="A1" s="2" t="e" vm="1">
        <v>#VALUE!</v>
      </c>
      <c r="B1" s="1" t="s">
        <v>2</v>
      </c>
      <c r="D1" s="1" t="s">
        <v>1211</v>
      </c>
      <c r="E1" s="1" t="s">
        <v>0</v>
      </c>
    </row>
    <row r="3" spans="1:5">
      <c r="A3" s="1" t="s">
        <v>1180</v>
      </c>
      <c r="B3" s="1" t="s">
        <v>1212</v>
      </c>
    </row>
    <row r="4" spans="1:5">
      <c r="B4" s="1" t="s">
        <v>1213</v>
      </c>
    </row>
    <row r="5" spans="1:5">
      <c r="B5" s="1" t="s">
        <v>1214</v>
      </c>
    </row>
    <row r="6" spans="1:5">
      <c r="B6" s="1" t="s">
        <v>1215</v>
      </c>
    </row>
    <row r="7" spans="1:5">
      <c r="B7" s="1" t="s">
        <v>1216</v>
      </c>
    </row>
    <row r="8" spans="1:5">
      <c r="B8" s="1" t="s">
        <v>1217</v>
      </c>
    </row>
    <row r="10" spans="1:5">
      <c r="A10" s="1" t="s">
        <v>1181</v>
      </c>
      <c r="B10" s="1" t="s">
        <v>1218</v>
      </c>
    </row>
    <row r="11" spans="1:5">
      <c r="B11" s="1" t="s">
        <v>1219</v>
      </c>
    </row>
    <row r="12" spans="1:5">
      <c r="B12" s="1" t="s">
        <v>1220</v>
      </c>
    </row>
    <row r="13" spans="1:5">
      <c r="B13" s="1" t="s">
        <v>1221</v>
      </c>
    </row>
    <row r="15" spans="1:5">
      <c r="B15" s="1" t="s">
        <v>1222</v>
      </c>
    </row>
    <row r="16" spans="1:5">
      <c r="B16" s="1" t="s">
        <v>1223</v>
      </c>
    </row>
    <row r="18" spans="2:4">
      <c r="B18" s="1" t="s">
        <v>1224</v>
      </c>
    </row>
    <row r="20" spans="2:4">
      <c r="C20" s="76" t="s">
        <v>46</v>
      </c>
      <c r="D20" s="76" t="s">
        <v>1226</v>
      </c>
    </row>
    <row r="21" spans="2:4">
      <c r="C21" s="3" t="s">
        <v>13</v>
      </c>
      <c r="D21" s="3" t="s">
        <v>1227</v>
      </c>
    </row>
    <row r="22" spans="2:4">
      <c r="C22" s="3" t="s">
        <v>7</v>
      </c>
      <c r="D22" s="3" t="s">
        <v>1227</v>
      </c>
    </row>
    <row r="23" spans="2:4">
      <c r="C23" s="3" t="s">
        <v>1225</v>
      </c>
      <c r="D23" s="3" t="s">
        <v>1227</v>
      </c>
    </row>
    <row r="24" spans="2:4">
      <c r="C24" s="3" t="s">
        <v>14</v>
      </c>
      <c r="D24" s="3" t="s">
        <v>1227</v>
      </c>
    </row>
    <row r="25" spans="2:4">
      <c r="C25" s="3" t="s">
        <v>15</v>
      </c>
      <c r="D25" s="3" t="s">
        <v>52</v>
      </c>
    </row>
    <row r="28" spans="2:4">
      <c r="C28" s="1" t="s">
        <v>1228</v>
      </c>
    </row>
    <row r="30" spans="2:4">
      <c r="C30" s="1" t="s">
        <v>203</v>
      </c>
      <c r="D30" s="2" t="s">
        <v>1231</v>
      </c>
    </row>
    <row r="31" spans="2:4">
      <c r="C31" s="1" t="s">
        <v>1229</v>
      </c>
      <c r="D31" s="2" t="s">
        <v>1231</v>
      </c>
    </row>
    <row r="32" spans="2:4">
      <c r="C32" s="1" t="s">
        <v>1230</v>
      </c>
      <c r="D32" s="2" t="s">
        <v>1231</v>
      </c>
    </row>
    <row r="33" spans="3:5">
      <c r="C33" s="1" t="s">
        <v>1232</v>
      </c>
      <c r="D33" s="2" t="s">
        <v>1231</v>
      </c>
    </row>
    <row r="34" spans="3:5">
      <c r="C34" s="1" t="s">
        <v>1233</v>
      </c>
      <c r="D34" s="2" t="s">
        <v>1234</v>
      </c>
    </row>
    <row r="35" spans="3:5">
      <c r="C35" s="1" t="s">
        <v>1235</v>
      </c>
      <c r="D35" s="2" t="s">
        <v>1234</v>
      </c>
    </row>
    <row r="37" spans="3:5">
      <c r="C37" s="1" t="s">
        <v>1236</v>
      </c>
    </row>
    <row r="38" spans="3:5">
      <c r="C38" s="1" t="s">
        <v>1237</v>
      </c>
    </row>
    <row r="39" spans="3:5">
      <c r="C39" s="1" t="s">
        <v>1238</v>
      </c>
    </row>
    <row r="40" spans="3:5">
      <c r="C40" s="76"/>
      <c r="D40" s="76" t="s">
        <v>47</v>
      </c>
      <c r="E40" s="76" t="s">
        <v>48</v>
      </c>
    </row>
    <row r="41" spans="3:5">
      <c r="C41" s="3" t="s">
        <v>49</v>
      </c>
      <c r="D41" s="3">
        <v>1000</v>
      </c>
      <c r="E41" s="3">
        <v>1000</v>
      </c>
    </row>
    <row r="42" spans="3:5">
      <c r="C42" s="3" t="s">
        <v>1239</v>
      </c>
      <c r="D42" s="18">
        <v>0.98</v>
      </c>
      <c r="E42" s="18">
        <v>0.2</v>
      </c>
    </row>
    <row r="44" spans="3:5">
      <c r="C44" s="1" t="s">
        <v>1240</v>
      </c>
    </row>
    <row r="45" spans="3:5">
      <c r="C45" s="1" t="s">
        <v>1241</v>
      </c>
    </row>
    <row r="47" spans="3:5">
      <c r="C47" s="1" t="s">
        <v>1242</v>
      </c>
      <c r="D47" s="1" t="s">
        <v>1245</v>
      </c>
    </row>
    <row r="49" spans="3:4">
      <c r="C49" s="1" t="s">
        <v>1243</v>
      </c>
    </row>
    <row r="50" spans="3:4">
      <c r="C50" s="1" t="s">
        <v>1244</v>
      </c>
    </row>
    <row r="52" spans="3:4">
      <c r="C52" s="1" t="s">
        <v>1246</v>
      </c>
    </row>
    <row r="54" spans="3:4">
      <c r="C54" s="1" t="s">
        <v>1247</v>
      </c>
    </row>
    <row r="55" spans="3:4">
      <c r="C55" s="1" t="s">
        <v>1248</v>
      </c>
    </row>
    <row r="57" spans="3:4">
      <c r="C57" s="1" t="s">
        <v>1249</v>
      </c>
    </row>
    <row r="58" spans="3:4">
      <c r="C58" s="1" t="s">
        <v>1250</v>
      </c>
    </row>
    <row r="60" spans="3:4">
      <c r="C60" s="1" t="s">
        <v>1251</v>
      </c>
    </row>
    <row r="62" spans="3:4">
      <c r="C62" s="1" t="s">
        <v>1252</v>
      </c>
      <c r="D62" s="1" t="s">
        <v>1253</v>
      </c>
    </row>
    <row r="63" spans="3:4">
      <c r="C63" s="1" t="s">
        <v>1254</v>
      </c>
    </row>
    <row r="64" spans="3:4">
      <c r="C64" s="1" t="s">
        <v>1255</v>
      </c>
    </row>
    <row r="65" spans="3:3">
      <c r="C65" s="1" t="s">
        <v>1256</v>
      </c>
    </row>
    <row r="66" spans="3:3">
      <c r="C66" s="1" t="s">
        <v>1257</v>
      </c>
    </row>
    <row r="68" spans="3:3">
      <c r="C68" s="1" t="s">
        <v>1258</v>
      </c>
    </row>
    <row r="69" spans="3:3">
      <c r="C69" s="1" t="s">
        <v>1259</v>
      </c>
    </row>
    <row r="70" spans="3:3">
      <c r="C70" s="1" t="s">
        <v>1260</v>
      </c>
    </row>
    <row r="71" spans="3:3">
      <c r="C71" s="1" t="s">
        <v>1261</v>
      </c>
    </row>
    <row r="72" spans="3:3">
      <c r="C72" s="1" t="s">
        <v>1262</v>
      </c>
    </row>
    <row r="73" spans="3:3">
      <c r="C73" s="1" t="s">
        <v>1263</v>
      </c>
    </row>
    <row r="74" spans="3:3">
      <c r="C74" s="1" t="s">
        <v>1264</v>
      </c>
    </row>
    <row r="75" spans="3:3">
      <c r="C75" s="1" t="s">
        <v>1265</v>
      </c>
    </row>
    <row r="77" spans="3:3">
      <c r="C77" s="1" t="s">
        <v>1266</v>
      </c>
    </row>
    <row r="78" spans="3:3">
      <c r="C78" s="1" t="s">
        <v>1267</v>
      </c>
    </row>
    <row r="79" spans="3:3">
      <c r="C79" s="1" t="s">
        <v>1268</v>
      </c>
    </row>
    <row r="80" spans="3:3">
      <c r="C80" s="1" t="s">
        <v>1269</v>
      </c>
    </row>
    <row r="81" spans="3:5">
      <c r="C81" s="1" t="s">
        <v>1270</v>
      </c>
    </row>
    <row r="82" spans="3:5">
      <c r="C82" s="1" t="s">
        <v>1271</v>
      </c>
    </row>
    <row r="83" spans="3:5">
      <c r="C83" s="1" t="s">
        <v>1272</v>
      </c>
    </row>
    <row r="85" spans="3:5">
      <c r="C85" s="1" t="s">
        <v>1273</v>
      </c>
      <c r="E85" s="1" t="s">
        <v>15</v>
      </c>
    </row>
    <row r="87" spans="3:5">
      <c r="C87" s="1" t="s">
        <v>203</v>
      </c>
      <c r="E87" s="1" t="str">
        <f>C87</f>
        <v>فعالیت های عملیاتی</v>
      </c>
    </row>
    <row r="88" spans="3:5">
      <c r="C88" s="1" t="s">
        <v>1274</v>
      </c>
    </row>
    <row r="89" spans="3:5">
      <c r="C89" s="1" t="s">
        <v>1275</v>
      </c>
    </row>
    <row r="90" spans="3:5">
      <c r="C90" s="1" t="s">
        <v>1276</v>
      </c>
      <c r="E90" s="1" t="str">
        <f>C90</f>
        <v>فعالیت های سرمایه گذاری</v>
      </c>
    </row>
    <row r="91" spans="3:5">
      <c r="C91" s="1" t="s">
        <v>1230</v>
      </c>
      <c r="E91" s="1" t="str">
        <f>C91</f>
        <v>فعالیت های تامین مالی</v>
      </c>
    </row>
    <row r="94" spans="3:5">
      <c r="C94" s="1" t="s">
        <v>1277</v>
      </c>
    </row>
    <row r="95" spans="3:5">
      <c r="C95" s="1" t="s">
        <v>1278</v>
      </c>
    </row>
    <row r="96" spans="3:5">
      <c r="C96" s="1" t="s">
        <v>1279</v>
      </c>
    </row>
    <row r="98" spans="3:4">
      <c r="C98" s="1" t="s">
        <v>1280</v>
      </c>
    </row>
    <row r="99" spans="3:4">
      <c r="C99" s="1" t="s">
        <v>1283</v>
      </c>
      <c r="D99" s="1" t="s">
        <v>1284</v>
      </c>
    </row>
    <row r="100" spans="3:4">
      <c r="C100" s="1" t="s">
        <v>1281</v>
      </c>
      <c r="D100" s="1" t="s">
        <v>1282</v>
      </c>
    </row>
    <row r="102" spans="3:4">
      <c r="C102" s="1" t="s">
        <v>1285</v>
      </c>
    </row>
    <row r="103" spans="3:4">
      <c r="C103" s="1" t="s">
        <v>1286</v>
      </c>
    </row>
    <row r="104" spans="3:4">
      <c r="C104" s="1" t="s">
        <v>1287</v>
      </c>
    </row>
    <row r="105" spans="3:4">
      <c r="C105" s="1" t="s">
        <v>1288</v>
      </c>
    </row>
    <row r="106" spans="3:4">
      <c r="C106" s="1" t="s">
        <v>1289</v>
      </c>
    </row>
    <row r="107" spans="3:4">
      <c r="C107" s="1" t="s">
        <v>1290</v>
      </c>
    </row>
    <row r="108" spans="3:4">
      <c r="C108" s="1" t="s">
        <v>1291</v>
      </c>
    </row>
    <row r="110" spans="3:4">
      <c r="C110" s="1" t="s">
        <v>1292</v>
      </c>
    </row>
    <row r="111" spans="3:4">
      <c r="C111" s="1" t="s">
        <v>1293</v>
      </c>
    </row>
    <row r="112" spans="3:4">
      <c r="C112" s="1" t="s">
        <v>1294</v>
      </c>
    </row>
    <row r="113" spans="3:4">
      <c r="C113" s="1" t="s">
        <v>1295</v>
      </c>
    </row>
    <row r="115" spans="3:4">
      <c r="C115" s="1" t="s">
        <v>1296</v>
      </c>
    </row>
    <row r="116" spans="3:4">
      <c r="C116" s="1" t="s">
        <v>1297</v>
      </c>
    </row>
    <row r="117" spans="3:4">
      <c r="C117" s="1" t="s">
        <v>1298</v>
      </c>
      <c r="D117" s="1" t="s">
        <v>1300</v>
      </c>
    </row>
    <row r="118" spans="3:4">
      <c r="C118" s="1" t="s">
        <v>1299</v>
      </c>
      <c r="D118" s="1" t="s">
        <v>1301</v>
      </c>
    </row>
    <row r="120" spans="3:4">
      <c r="C120" s="1" t="s">
        <v>1298</v>
      </c>
    </row>
    <row r="121" spans="3:4">
      <c r="C121" s="1" t="s">
        <v>1302</v>
      </c>
    </row>
    <row r="122" spans="3:4">
      <c r="C122" s="1" t="s">
        <v>1303</v>
      </c>
    </row>
    <row r="123" spans="3:4">
      <c r="C123" s="1" t="s">
        <v>1304</v>
      </c>
    </row>
    <row r="125" spans="3:4">
      <c r="C125" s="1" t="s">
        <v>1299</v>
      </c>
    </row>
    <row r="126" spans="3:4">
      <c r="C126" s="1" t="s">
        <v>1305</v>
      </c>
    </row>
    <row r="127" spans="3:4">
      <c r="C127" s="1" t="s">
        <v>1306</v>
      </c>
    </row>
    <row r="128" spans="3:4">
      <c r="C128" s="1" t="s">
        <v>1307</v>
      </c>
    </row>
    <row r="129" spans="2:3">
      <c r="B129" s="1">
        <v>1</v>
      </c>
      <c r="C129" s="1" t="s">
        <v>1308</v>
      </c>
    </row>
    <row r="130" spans="2:3">
      <c r="B130" s="1">
        <v>2</v>
      </c>
      <c r="C130" s="1" t="s">
        <v>1309</v>
      </c>
    </row>
    <row r="131" spans="2:3">
      <c r="B131" s="1">
        <v>3</v>
      </c>
      <c r="C131" s="1" t="s">
        <v>1310</v>
      </c>
    </row>
    <row r="133" spans="2:3">
      <c r="C133" s="1" t="s">
        <v>1311</v>
      </c>
    </row>
    <row r="134" spans="2:3">
      <c r="C134" s="1" t="s">
        <v>1312</v>
      </c>
    </row>
    <row r="135" spans="2:3">
      <c r="C135" s="1" t="s">
        <v>1313</v>
      </c>
    </row>
    <row r="136" spans="2:3">
      <c r="C136" s="1" t="s">
        <v>1314</v>
      </c>
    </row>
  </sheetData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5E6F3-D26A-433E-B0BE-5055A18D7C25}">
  <dimension ref="A1:H67"/>
  <sheetViews>
    <sheetView rightToLeft="1" zoomScale="180" zoomScaleNormal="180" workbookViewId="0">
      <pane ySplit="1" topLeftCell="A58" activePane="bottomLeft" state="frozen"/>
      <selection activeCell="G136" sqref="G136"/>
      <selection pane="bottomLeft" activeCell="G136" sqref="G136"/>
    </sheetView>
  </sheetViews>
  <sheetFormatPr defaultRowHeight="19.5"/>
  <cols>
    <col min="1" max="2" width="9" style="1"/>
    <col min="3" max="3" width="27.125" style="1" customWidth="1"/>
    <col min="4" max="4" width="15.375" style="1" customWidth="1"/>
    <col min="5" max="5" width="19" style="1" customWidth="1"/>
    <col min="6" max="6" width="16.875" style="1" customWidth="1"/>
    <col min="7" max="7" width="14.375" style="1" customWidth="1"/>
    <col min="8" max="16384" width="9" style="1"/>
  </cols>
  <sheetData>
    <row r="1" spans="1:8" ht="24" customHeight="1">
      <c r="A1" s="2" t="e" vm="1">
        <v>#VALUE!</v>
      </c>
      <c r="B1" s="1" t="s">
        <v>2</v>
      </c>
      <c r="D1" s="1" t="s">
        <v>1315</v>
      </c>
      <c r="E1" s="1" t="s">
        <v>0</v>
      </c>
    </row>
    <row r="3" spans="1:8">
      <c r="C3" s="1" t="s">
        <v>1316</v>
      </c>
    </row>
    <row r="4" spans="1:8">
      <c r="C4" s="1" t="s">
        <v>1317</v>
      </c>
    </row>
    <row r="5" spans="1:8">
      <c r="C5" s="1" t="s">
        <v>1318</v>
      </c>
    </row>
    <row r="6" spans="1:8">
      <c r="C6" s="1" t="s">
        <v>1319</v>
      </c>
    </row>
    <row r="7" spans="1:8">
      <c r="C7" s="1" t="s">
        <v>1320</v>
      </c>
    </row>
    <row r="10" spans="1:8">
      <c r="C10" s="1" t="s">
        <v>1321</v>
      </c>
    </row>
    <row r="11" spans="1:8">
      <c r="C11" s="1" t="s">
        <v>1322</v>
      </c>
    </row>
    <row r="12" spans="1:8">
      <c r="B12" s="1">
        <v>1</v>
      </c>
      <c r="C12" s="1" t="s">
        <v>1323</v>
      </c>
    </row>
    <row r="13" spans="1:8">
      <c r="B13" s="1">
        <v>2</v>
      </c>
      <c r="C13" s="1" t="s">
        <v>1324</v>
      </c>
    </row>
    <row r="14" spans="1:8">
      <c r="C14" s="1" t="s">
        <v>1325</v>
      </c>
      <c r="F14" s="118" t="s">
        <v>1326</v>
      </c>
      <c r="G14" s="118"/>
    </row>
    <row r="15" spans="1:8">
      <c r="E15" s="1" t="s">
        <v>1275</v>
      </c>
      <c r="F15" s="65">
        <f>G15+G16-G18</f>
        <v>80</v>
      </c>
      <c r="G15" s="1">
        <v>100</v>
      </c>
      <c r="H15" s="1" t="s">
        <v>799</v>
      </c>
    </row>
    <row r="16" spans="1:8">
      <c r="F16" s="48"/>
      <c r="G16" s="1">
        <v>300</v>
      </c>
      <c r="H16" s="1" t="s">
        <v>1327</v>
      </c>
    </row>
    <row r="17" spans="2:8">
      <c r="F17" s="48"/>
    </row>
    <row r="18" spans="2:8" ht="20.25" thickBot="1">
      <c r="F18" s="66"/>
      <c r="G18" s="42">
        <v>320</v>
      </c>
      <c r="H18" s="1" t="s">
        <v>1328</v>
      </c>
    </row>
    <row r="19" spans="2:8" ht="20.25" thickTop="1"/>
    <row r="20" spans="2:8">
      <c r="C20" s="1" t="s">
        <v>1329</v>
      </c>
    </row>
    <row r="21" spans="2:8">
      <c r="C21" s="1" t="s">
        <v>1330</v>
      </c>
    </row>
    <row r="22" spans="2:8">
      <c r="B22" s="1">
        <v>1</v>
      </c>
      <c r="C22" s="1" t="s">
        <v>1331</v>
      </c>
    </row>
    <row r="23" spans="2:8">
      <c r="C23" s="1" t="s">
        <v>1332</v>
      </c>
    </row>
    <row r="24" spans="2:8">
      <c r="B24" s="1">
        <v>2</v>
      </c>
      <c r="C24" s="1" t="s">
        <v>1333</v>
      </c>
    </row>
    <row r="26" spans="2:8">
      <c r="C26" s="77" t="s">
        <v>1334</v>
      </c>
    </row>
    <row r="27" spans="2:8">
      <c r="C27" s="1" t="s">
        <v>1335</v>
      </c>
    </row>
    <row r="28" spans="2:8">
      <c r="C28" s="1" t="s">
        <v>1336</v>
      </c>
    </row>
    <row r="30" spans="2:8">
      <c r="C30" s="77" t="s">
        <v>1337</v>
      </c>
      <c r="F30" s="93" t="s">
        <v>275</v>
      </c>
      <c r="G30" s="93"/>
      <c r="H30" s="93"/>
    </row>
    <row r="31" spans="2:8">
      <c r="C31" s="1" t="s">
        <v>1338</v>
      </c>
      <c r="F31" s="4" t="s">
        <v>46</v>
      </c>
      <c r="G31" s="4" t="s">
        <v>276</v>
      </c>
      <c r="H31" s="4" t="s">
        <v>277</v>
      </c>
    </row>
    <row r="32" spans="2:8">
      <c r="C32" s="1" t="s">
        <v>1339</v>
      </c>
      <c r="D32" s="1">
        <v>1000</v>
      </c>
      <c r="F32" s="4" t="s">
        <v>278</v>
      </c>
      <c r="G32" s="4">
        <v>550</v>
      </c>
      <c r="H32" s="4"/>
    </row>
    <row r="33" spans="3:8">
      <c r="C33" s="1" t="s">
        <v>797</v>
      </c>
      <c r="D33" s="1">
        <v>800</v>
      </c>
      <c r="F33" s="4" t="s">
        <v>797</v>
      </c>
      <c r="G33" s="4">
        <f>D33</f>
        <v>800</v>
      </c>
      <c r="H33" s="4"/>
    </row>
    <row r="34" spans="3:8">
      <c r="C34" s="1" t="s">
        <v>1340</v>
      </c>
      <c r="D34" s="1">
        <v>350</v>
      </c>
      <c r="F34" s="4" t="s">
        <v>214</v>
      </c>
      <c r="G34" s="4"/>
      <c r="H34" s="4">
        <f>D32</f>
        <v>1000</v>
      </c>
    </row>
    <row r="35" spans="3:8">
      <c r="F35" s="4" t="s">
        <v>223</v>
      </c>
      <c r="G35" s="4"/>
      <c r="H35" s="4">
        <f>D34</f>
        <v>350</v>
      </c>
    </row>
    <row r="36" spans="3:8">
      <c r="G36" s="1">
        <f>SUM(G32:G35)</f>
        <v>1350</v>
      </c>
      <c r="H36" s="1">
        <f>SUM(H32:H35)</f>
        <v>1350</v>
      </c>
    </row>
    <row r="37" spans="3:8">
      <c r="C37" s="1" t="s">
        <v>1341</v>
      </c>
      <c r="H37" s="1">
        <f>H36-G36</f>
        <v>0</v>
      </c>
    </row>
    <row r="39" spans="3:8">
      <c r="C39" s="1" t="s">
        <v>1342</v>
      </c>
    </row>
    <row r="40" spans="3:8">
      <c r="C40" s="1" t="s">
        <v>1343</v>
      </c>
      <c r="D40" s="15">
        <v>8000000000</v>
      </c>
    </row>
    <row r="41" spans="3:8">
      <c r="C41" s="1" t="s">
        <v>1344</v>
      </c>
      <c r="F41" s="118" t="s">
        <v>1345</v>
      </c>
      <c r="G41" s="118"/>
    </row>
    <row r="42" spans="3:8">
      <c r="E42" s="1" t="s">
        <v>1123</v>
      </c>
      <c r="F42" s="1">
        <v>0</v>
      </c>
      <c r="G42" s="16">
        <f>F42+F43-F45</f>
        <v>3000000000</v>
      </c>
    </row>
    <row r="43" spans="3:8">
      <c r="E43" s="1" t="s">
        <v>1346</v>
      </c>
      <c r="F43" s="15">
        <f>D40</f>
        <v>8000000000</v>
      </c>
      <c r="G43" s="15"/>
    </row>
    <row r="44" spans="3:8">
      <c r="F44" s="15"/>
      <c r="G44" s="15"/>
    </row>
    <row r="45" spans="3:8" ht="20.25" thickBot="1">
      <c r="E45" s="1" t="s">
        <v>1347</v>
      </c>
      <c r="F45" s="68">
        <v>5000000000</v>
      </c>
      <c r="G45" s="68"/>
    </row>
    <row r="46" spans="3:8" ht="20.25" thickTop="1"/>
    <row r="47" spans="3:8">
      <c r="C47" s="4"/>
      <c r="D47" s="4" t="s">
        <v>1348</v>
      </c>
      <c r="E47" s="4" t="s">
        <v>1349</v>
      </c>
      <c r="F47" s="4" t="s">
        <v>1350</v>
      </c>
    </row>
    <row r="48" spans="3:8">
      <c r="C48" s="4" t="s">
        <v>863</v>
      </c>
      <c r="D48" s="27">
        <f>F43</f>
        <v>8000000000</v>
      </c>
      <c r="E48" s="4">
        <v>3000000000</v>
      </c>
      <c r="F48" s="27">
        <f>D48-E48</f>
        <v>5000000000</v>
      </c>
    </row>
    <row r="49" spans="3:7">
      <c r="C49" s="4" t="s">
        <v>50</v>
      </c>
      <c r="D49" s="4"/>
      <c r="E49" s="4">
        <v>5000000000</v>
      </c>
      <c r="F49" s="27">
        <f>D49-E49</f>
        <v>-5000000000</v>
      </c>
    </row>
    <row r="52" spans="3:7">
      <c r="C52" s="1" t="s">
        <v>1351</v>
      </c>
    </row>
    <row r="53" spans="3:7">
      <c r="F53" s="118" t="s">
        <v>306</v>
      </c>
      <c r="G53" s="118"/>
    </row>
    <row r="54" spans="3:7">
      <c r="E54" s="1" t="s">
        <v>1123</v>
      </c>
      <c r="F54" s="1">
        <v>246982550</v>
      </c>
      <c r="G54" s="16">
        <v>1361410732</v>
      </c>
    </row>
    <row r="55" spans="3:7">
      <c r="E55" s="1" t="s">
        <v>1346</v>
      </c>
      <c r="F55" s="15">
        <v>1161410732</v>
      </c>
      <c r="G55" s="15"/>
    </row>
    <row r="56" spans="3:7">
      <c r="F56" s="15"/>
      <c r="G56" s="15"/>
    </row>
    <row r="57" spans="3:7" ht="20.25" thickBot="1">
      <c r="E57" s="1" t="s">
        <v>1347</v>
      </c>
      <c r="F57" s="68">
        <v>46982550</v>
      </c>
      <c r="G57" s="68"/>
    </row>
    <row r="58" spans="3:7" ht="20.25" thickTop="1"/>
    <row r="61" spans="3:7">
      <c r="C61" s="4"/>
      <c r="D61" s="3" t="s">
        <v>1348</v>
      </c>
      <c r="E61" s="3" t="s">
        <v>1349</v>
      </c>
      <c r="F61" s="3" t="s">
        <v>1350</v>
      </c>
    </row>
    <row r="62" spans="3:7">
      <c r="C62" s="4" t="s">
        <v>863</v>
      </c>
      <c r="D62" s="17">
        <f>F55</f>
        <v>1161410732</v>
      </c>
      <c r="E62" s="17">
        <f>G54</f>
        <v>1361410732</v>
      </c>
      <c r="F62" s="17">
        <f>D62-E62</f>
        <v>-200000000</v>
      </c>
    </row>
    <row r="63" spans="3:7">
      <c r="C63" s="4" t="s">
        <v>50</v>
      </c>
      <c r="D63" s="17">
        <v>200000000</v>
      </c>
      <c r="E63" s="17"/>
      <c r="F63" s="17">
        <f>D63-E63</f>
        <v>200000000</v>
      </c>
    </row>
    <row r="66" spans="3:3">
      <c r="C66" s="1" t="s">
        <v>312</v>
      </c>
    </row>
    <row r="67" spans="3:3">
      <c r="C67" s="1" t="s">
        <v>1371</v>
      </c>
    </row>
  </sheetData>
  <mergeCells count="4">
    <mergeCell ref="F14:G14"/>
    <mergeCell ref="F30:H30"/>
    <mergeCell ref="F41:G41"/>
    <mergeCell ref="F53:G53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97AFC-E322-49BD-9CFD-31341047017F}">
  <dimension ref="A1:J8"/>
  <sheetViews>
    <sheetView rightToLeft="1" zoomScale="150" zoomScaleNormal="150" workbookViewId="0">
      <selection activeCell="G136" sqref="G136"/>
    </sheetView>
  </sheetViews>
  <sheetFormatPr defaultRowHeight="19.5"/>
  <cols>
    <col min="1" max="1" width="9" style="1"/>
    <col min="2" max="2" width="15.25" style="1" customWidth="1"/>
    <col min="3" max="4" width="15" style="1" customWidth="1"/>
    <col min="5" max="5" width="14" style="1" customWidth="1"/>
    <col min="6" max="6" width="13.75" style="1" customWidth="1"/>
    <col min="7" max="10" width="15" style="1" customWidth="1"/>
    <col min="11" max="16384" width="9" style="1"/>
  </cols>
  <sheetData>
    <row r="1" spans="1:10">
      <c r="A1" s="1" t="s">
        <v>1234</v>
      </c>
      <c r="B1" s="1" t="s">
        <v>1352</v>
      </c>
    </row>
    <row r="2" spans="1:10">
      <c r="A2" s="1" t="s">
        <v>182</v>
      </c>
      <c r="B2" s="1" t="s">
        <v>1353</v>
      </c>
    </row>
    <row r="4" spans="1:10">
      <c r="B4" s="78" t="s">
        <v>46</v>
      </c>
      <c r="C4" s="80" t="s">
        <v>1355</v>
      </c>
      <c r="D4" s="80" t="s">
        <v>1356</v>
      </c>
      <c r="E4" s="80" t="s">
        <v>1357</v>
      </c>
      <c r="F4" s="80" t="s">
        <v>1358</v>
      </c>
      <c r="G4" s="80" t="s">
        <v>1359</v>
      </c>
      <c r="H4" s="80" t="s">
        <v>1360</v>
      </c>
      <c r="I4" s="80" t="s">
        <v>1361</v>
      </c>
      <c r="J4" s="80" t="s">
        <v>1362</v>
      </c>
    </row>
    <row r="5" spans="1:10">
      <c r="B5" s="73" t="s">
        <v>203</v>
      </c>
      <c r="C5" s="3" t="s">
        <v>1234</v>
      </c>
      <c r="D5" s="3" t="s">
        <v>1234</v>
      </c>
      <c r="E5" s="3" t="s">
        <v>1234</v>
      </c>
      <c r="F5" s="3" t="s">
        <v>1234</v>
      </c>
      <c r="G5" s="3" t="s">
        <v>182</v>
      </c>
      <c r="H5" s="3" t="s">
        <v>182</v>
      </c>
      <c r="I5" s="3" t="s">
        <v>182</v>
      </c>
      <c r="J5" s="3" t="s">
        <v>182</v>
      </c>
    </row>
    <row r="6" spans="1:10">
      <c r="B6" s="73" t="s">
        <v>1276</v>
      </c>
      <c r="C6" s="3" t="s">
        <v>1234</v>
      </c>
      <c r="D6" s="3" t="s">
        <v>1234</v>
      </c>
      <c r="E6" s="3" t="s">
        <v>182</v>
      </c>
      <c r="F6" s="3" t="s">
        <v>182</v>
      </c>
      <c r="G6" s="3" t="s">
        <v>1234</v>
      </c>
      <c r="H6" s="3" t="s">
        <v>182</v>
      </c>
      <c r="I6" s="3" t="s">
        <v>1234</v>
      </c>
      <c r="J6" s="3" t="s">
        <v>182</v>
      </c>
    </row>
    <row r="7" spans="1:10">
      <c r="B7" s="73" t="s">
        <v>1230</v>
      </c>
      <c r="C7" s="3" t="s">
        <v>1234</v>
      </c>
      <c r="D7" s="3" t="s">
        <v>182</v>
      </c>
      <c r="E7" s="3" t="s">
        <v>1234</v>
      </c>
      <c r="F7" s="3" t="s">
        <v>182</v>
      </c>
      <c r="G7" s="3" t="s">
        <v>1234</v>
      </c>
      <c r="H7" s="3" t="s">
        <v>1234</v>
      </c>
      <c r="I7" s="3" t="s">
        <v>182</v>
      </c>
      <c r="J7" s="3" t="s">
        <v>182</v>
      </c>
    </row>
    <row r="8" spans="1:10" ht="154.5" customHeight="1">
      <c r="B8" s="79" t="s">
        <v>1354</v>
      </c>
      <c r="C8" s="61" t="s">
        <v>1363</v>
      </c>
      <c r="D8" s="61" t="s">
        <v>1365</v>
      </c>
      <c r="E8" s="61" t="s">
        <v>1366</v>
      </c>
      <c r="F8" s="61" t="s">
        <v>1367</v>
      </c>
      <c r="G8" s="61" t="s">
        <v>1368</v>
      </c>
      <c r="H8" s="61" t="s">
        <v>1369</v>
      </c>
      <c r="I8" s="61" t="s">
        <v>1370</v>
      </c>
      <c r="J8" s="61" t="s">
        <v>1364</v>
      </c>
    </row>
  </sheetData>
  <phoneticPr fontId="2" type="noConversion"/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EC47A-5A4B-4B40-B5DC-32934A9C57A2}">
  <dimension ref="A1:G87"/>
  <sheetViews>
    <sheetView rightToLeft="1" zoomScale="180" zoomScaleNormal="180" workbookViewId="0">
      <pane ySplit="1" topLeftCell="A77" activePane="bottomLeft" state="frozen"/>
      <selection activeCell="G136" sqref="G136"/>
      <selection pane="bottomLeft" activeCell="G136" sqref="G136"/>
    </sheetView>
  </sheetViews>
  <sheetFormatPr defaultRowHeight="19.5"/>
  <cols>
    <col min="1" max="2" width="9" style="1"/>
    <col min="3" max="3" width="20.625" style="1" customWidth="1"/>
    <col min="4" max="4" width="19.375" style="1" customWidth="1"/>
    <col min="5" max="5" width="26.875" style="1" customWidth="1"/>
    <col min="6" max="6" width="16.875" style="1" customWidth="1"/>
    <col min="7" max="7" width="14.375" style="1" customWidth="1"/>
    <col min="8" max="16384" width="9" style="1"/>
  </cols>
  <sheetData>
    <row r="1" spans="1:7" ht="24" customHeight="1">
      <c r="A1" s="2" t="e" vm="1">
        <v>#VALUE!</v>
      </c>
      <c r="B1" s="1" t="s">
        <v>2</v>
      </c>
      <c r="D1" s="1" t="s">
        <v>1372</v>
      </c>
      <c r="E1" s="1" t="s">
        <v>0</v>
      </c>
    </row>
    <row r="3" spans="1:7">
      <c r="C3" s="1" t="s">
        <v>1373</v>
      </c>
    </row>
    <row r="6" spans="1:7">
      <c r="C6" s="1" t="s">
        <v>1374</v>
      </c>
      <c r="D6" s="1" t="s">
        <v>1375</v>
      </c>
    </row>
    <row r="8" spans="1:7">
      <c r="C8" s="1" t="s">
        <v>1376</v>
      </c>
    </row>
    <row r="9" spans="1:7">
      <c r="C9" s="1" t="s">
        <v>1377</v>
      </c>
      <c r="D9" s="1" t="s">
        <v>1378</v>
      </c>
    </row>
    <row r="12" spans="1:7">
      <c r="C12" s="1" t="s">
        <v>1379</v>
      </c>
    </row>
    <row r="13" spans="1:7">
      <c r="C13" s="1" t="s">
        <v>1374</v>
      </c>
    </row>
    <row r="14" spans="1:7">
      <c r="E14" s="3" t="s">
        <v>1382</v>
      </c>
    </row>
    <row r="16" spans="1:7">
      <c r="C16" s="3" t="s">
        <v>1383</v>
      </c>
      <c r="E16" s="3" t="s">
        <v>1380</v>
      </c>
      <c r="G16" s="3" t="s">
        <v>1381</v>
      </c>
    </row>
    <row r="18" spans="3:6">
      <c r="E18" s="3" t="s">
        <v>1384</v>
      </c>
    </row>
    <row r="20" spans="3:6">
      <c r="C20" s="1" t="s">
        <v>1385</v>
      </c>
    </row>
    <row r="22" spans="3:6">
      <c r="C22" s="1" t="s">
        <v>1386</v>
      </c>
      <c r="D22" s="1" t="s">
        <v>1389</v>
      </c>
    </row>
    <row r="23" spans="3:6">
      <c r="C23" s="1" t="s">
        <v>1387</v>
      </c>
      <c r="D23" s="1" t="s">
        <v>1390</v>
      </c>
    </row>
    <row r="24" spans="3:6">
      <c r="C24" s="1" t="s">
        <v>1388</v>
      </c>
      <c r="D24" s="1" t="s">
        <v>1391</v>
      </c>
    </row>
    <row r="26" spans="3:6">
      <c r="C26" s="1" t="s">
        <v>1392</v>
      </c>
    </row>
    <row r="27" spans="3:6">
      <c r="C27" s="1" t="s">
        <v>1393</v>
      </c>
      <c r="D27" s="1" t="s">
        <v>1395</v>
      </c>
    </row>
    <row r="28" spans="3:6">
      <c r="C28" s="1" t="s">
        <v>1394</v>
      </c>
      <c r="D28" s="1" t="s">
        <v>1396</v>
      </c>
    </row>
    <row r="30" spans="3:6">
      <c r="C30" s="1" t="s">
        <v>1397</v>
      </c>
    </row>
    <row r="31" spans="3:6">
      <c r="C31" s="1" t="s">
        <v>1398</v>
      </c>
    </row>
    <row r="32" spans="3:6">
      <c r="C32" s="1" t="s">
        <v>1399</v>
      </c>
      <c r="D32" s="28">
        <v>0.2</v>
      </c>
      <c r="E32" s="28">
        <v>0.25</v>
      </c>
      <c r="F32" s="28">
        <v>0.3</v>
      </c>
    </row>
    <row r="33" spans="3:6">
      <c r="C33" s="1" t="s">
        <v>1400</v>
      </c>
    </row>
    <row r="34" spans="3:6">
      <c r="C34" s="1" t="s">
        <v>430</v>
      </c>
      <c r="D34" s="82">
        <v>1100000</v>
      </c>
      <c r="E34" s="82">
        <v>1200000</v>
      </c>
      <c r="F34" s="82">
        <v>1500000</v>
      </c>
    </row>
    <row r="36" spans="3:6">
      <c r="C36" s="1" t="s">
        <v>1401</v>
      </c>
      <c r="D36" s="1" t="s">
        <v>1402</v>
      </c>
    </row>
    <row r="39" spans="3:6">
      <c r="C39" s="1" t="s">
        <v>1388</v>
      </c>
    </row>
    <row r="40" spans="3:6">
      <c r="C40" s="1" t="s">
        <v>1393</v>
      </c>
    </row>
    <row r="41" spans="3:6">
      <c r="C41" s="1" t="s">
        <v>1403</v>
      </c>
    </row>
    <row r="42" spans="3:6">
      <c r="C42" s="1" t="s">
        <v>1404</v>
      </c>
    </row>
    <row r="43" spans="3:6">
      <c r="C43" s="1" t="s">
        <v>1405</v>
      </c>
    </row>
    <row r="44" spans="3:6">
      <c r="C44" s="1" t="s">
        <v>1406</v>
      </c>
    </row>
    <row r="45" spans="3:6">
      <c r="C45" s="1" t="s">
        <v>1407</v>
      </c>
    </row>
    <row r="46" spans="3:6">
      <c r="C46" s="1" t="s">
        <v>1408</v>
      </c>
    </row>
    <row r="47" spans="3:6">
      <c r="C47" s="1" t="s">
        <v>1409</v>
      </c>
    </row>
    <row r="48" spans="3:6">
      <c r="C48" s="1" t="s">
        <v>1410</v>
      </c>
    </row>
    <row r="51" spans="3:6">
      <c r="C51" s="2">
        <v>1398</v>
      </c>
    </row>
    <row r="52" spans="3:6">
      <c r="C52" s="1" t="s">
        <v>1411</v>
      </c>
    </row>
    <row r="53" spans="3:6">
      <c r="C53" s="1" t="s">
        <v>1412</v>
      </c>
    </row>
    <row r="55" spans="3:6">
      <c r="C55" s="1" t="s">
        <v>1413</v>
      </c>
      <c r="D55" s="1" t="s">
        <v>1414</v>
      </c>
    </row>
    <row r="56" spans="3:6">
      <c r="C56" s="1" t="s">
        <v>1415</v>
      </c>
    </row>
    <row r="57" spans="3:6">
      <c r="C57" s="1" t="s">
        <v>1416</v>
      </c>
    </row>
    <row r="59" spans="3:6">
      <c r="C59" s="1" t="s">
        <v>1417</v>
      </c>
    </row>
    <row r="60" spans="3:6">
      <c r="C60" s="1" t="s">
        <v>1418</v>
      </c>
      <c r="D60" s="1" t="s">
        <v>1419</v>
      </c>
      <c r="E60" s="1">
        <v>100</v>
      </c>
      <c r="F60" s="1" t="s">
        <v>1420</v>
      </c>
    </row>
    <row r="61" spans="3:6">
      <c r="D61" s="1" t="s">
        <v>1421</v>
      </c>
      <c r="E61" s="1">
        <v>100</v>
      </c>
      <c r="F61" s="1" t="s">
        <v>1422</v>
      </c>
    </row>
    <row r="63" spans="3:6">
      <c r="C63" s="1" t="s">
        <v>1423</v>
      </c>
    </row>
    <row r="65" spans="3:6">
      <c r="C65" s="1" t="s">
        <v>1424</v>
      </c>
      <c r="D65" s="1" t="s">
        <v>1425</v>
      </c>
    </row>
    <row r="66" spans="3:6">
      <c r="D66" s="1" t="s">
        <v>1426</v>
      </c>
    </row>
    <row r="68" spans="3:6">
      <c r="D68" s="1" t="s">
        <v>1427</v>
      </c>
    </row>
    <row r="69" spans="3:6">
      <c r="D69" s="1" t="s">
        <v>1428</v>
      </c>
    </row>
    <row r="71" spans="3:6">
      <c r="C71" s="85" t="s">
        <v>1429</v>
      </c>
      <c r="D71" s="85" t="s">
        <v>46</v>
      </c>
      <c r="E71" s="85" t="s">
        <v>1436</v>
      </c>
      <c r="F71" s="85" t="s">
        <v>1437</v>
      </c>
    </row>
    <row r="72" spans="3:6">
      <c r="C72" s="4" t="s">
        <v>1430</v>
      </c>
      <c r="D72" s="4" t="s">
        <v>1432</v>
      </c>
      <c r="E72" s="69" t="s">
        <v>1438</v>
      </c>
      <c r="F72" s="83" t="s">
        <v>1439</v>
      </c>
    </row>
    <row r="73" spans="3:6">
      <c r="C73" s="4" t="s">
        <v>1431</v>
      </c>
      <c r="D73" s="4" t="s">
        <v>1433</v>
      </c>
      <c r="E73" s="83" t="s">
        <v>1440</v>
      </c>
      <c r="F73" s="83" t="s">
        <v>1439</v>
      </c>
    </row>
    <row r="74" spans="3:6">
      <c r="C74" s="4" t="s">
        <v>1434</v>
      </c>
      <c r="D74" s="4" t="s">
        <v>1435</v>
      </c>
      <c r="E74" s="84" t="s">
        <v>1441</v>
      </c>
      <c r="F74" s="84" t="s">
        <v>1442</v>
      </c>
    </row>
    <row r="77" spans="3:6">
      <c r="C77" s="85" t="s">
        <v>1443</v>
      </c>
      <c r="D77" s="85" t="str">
        <f>D71</f>
        <v>شرح</v>
      </c>
      <c r="E77" s="85" t="s">
        <v>1436</v>
      </c>
      <c r="F77" s="85" t="s">
        <v>1437</v>
      </c>
    </row>
    <row r="78" spans="3:6" ht="20.25" thickBot="1">
      <c r="C78" s="4" t="s">
        <v>1430</v>
      </c>
      <c r="D78" s="4" t="s">
        <v>1432</v>
      </c>
      <c r="E78" s="86" t="s">
        <v>1445</v>
      </c>
      <c r="F78" s="86" t="s">
        <v>1445</v>
      </c>
    </row>
    <row r="79" spans="3:6" ht="20.25" thickBot="1">
      <c r="C79" s="4" t="s">
        <v>1431</v>
      </c>
      <c r="D79" s="60" t="s">
        <v>1433</v>
      </c>
      <c r="E79" s="87" t="s">
        <v>1444</v>
      </c>
      <c r="F79" s="88" t="str">
        <f>E79</f>
        <v>دارایی احتمالی- عدم افشا</v>
      </c>
    </row>
    <row r="80" spans="3:6">
      <c r="C80" s="4" t="s">
        <v>1434</v>
      </c>
      <c r="D80" s="60" t="s">
        <v>1435</v>
      </c>
      <c r="E80" s="87" t="s">
        <v>1444</v>
      </c>
      <c r="F80" s="88" t="str">
        <f>E80</f>
        <v>دارایی احتمالی- عدم افشا</v>
      </c>
    </row>
    <row r="83" spans="3:3">
      <c r="C83" s="1" t="s">
        <v>1446</v>
      </c>
    </row>
    <row r="84" spans="3:3">
      <c r="C84" s="1" t="s">
        <v>1447</v>
      </c>
    </row>
    <row r="85" spans="3:3">
      <c r="C85" s="1" t="s">
        <v>1448</v>
      </c>
    </row>
    <row r="86" spans="3:3">
      <c r="C86" s="1" t="s">
        <v>1449</v>
      </c>
    </row>
    <row r="87" spans="3:3">
      <c r="C87" s="1" t="s">
        <v>863</v>
      </c>
    </row>
  </sheetData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117D8-2EC0-4A47-BF36-B6D0E7FE7454}">
  <dimension ref="A1:F146"/>
  <sheetViews>
    <sheetView rightToLeft="1" zoomScale="180" zoomScaleNormal="180" workbookViewId="0">
      <pane ySplit="1" topLeftCell="A139" activePane="bottomLeft" state="frozen"/>
      <selection activeCell="G136" sqref="G136"/>
      <selection pane="bottomLeft" activeCell="G136" sqref="G136"/>
    </sheetView>
  </sheetViews>
  <sheetFormatPr defaultRowHeight="19.5"/>
  <cols>
    <col min="1" max="2" width="9" style="1"/>
    <col min="3" max="3" width="26.25" style="1" customWidth="1"/>
    <col min="4" max="4" width="20.75" style="1" customWidth="1"/>
    <col min="5" max="5" width="17.875" style="1" customWidth="1"/>
    <col min="6" max="6" width="16.875" style="1" customWidth="1"/>
    <col min="7" max="7" width="14.375" style="1" customWidth="1"/>
    <col min="8" max="16384" width="9" style="1"/>
  </cols>
  <sheetData>
    <row r="1" spans="1:5" ht="24" customHeight="1">
      <c r="A1" s="2" t="e" vm="1">
        <v>#VALUE!</v>
      </c>
      <c r="B1" s="1" t="s">
        <v>2</v>
      </c>
      <c r="D1" s="1" t="s">
        <v>1451</v>
      </c>
      <c r="E1" s="1" t="s">
        <v>0</v>
      </c>
    </row>
    <row r="3" spans="1:5">
      <c r="C3" s="1" t="s">
        <v>1452</v>
      </c>
    </row>
    <row r="4" spans="1:5">
      <c r="C4" s="1" t="s">
        <v>1453</v>
      </c>
    </row>
    <row r="5" spans="1:5">
      <c r="C5" s="1" t="s">
        <v>1454</v>
      </c>
    </row>
    <row r="8" spans="1:5">
      <c r="C8" s="1" t="s">
        <v>1452</v>
      </c>
    </row>
    <row r="9" spans="1:5">
      <c r="C9" s="1" t="s">
        <v>66</v>
      </c>
      <c r="D9" s="1" t="s">
        <v>1459</v>
      </c>
      <c r="E9" s="1" t="s">
        <v>1458</v>
      </c>
    </row>
    <row r="10" spans="1:5">
      <c r="C10" s="53" t="s">
        <v>1455</v>
      </c>
      <c r="D10" s="53" t="s">
        <v>1456</v>
      </c>
      <c r="E10" s="1" t="s">
        <v>1457</v>
      </c>
    </row>
    <row r="11" spans="1:5">
      <c r="C11" s="1" t="s">
        <v>68</v>
      </c>
      <c r="D11" s="1" t="s">
        <v>1459</v>
      </c>
      <c r="E11" s="1" t="s">
        <v>1458</v>
      </c>
    </row>
    <row r="12" spans="1:5">
      <c r="C12" s="53" t="s">
        <v>69</v>
      </c>
      <c r="D12" s="53" t="s">
        <v>1456</v>
      </c>
      <c r="E12" s="1" t="s">
        <v>1457</v>
      </c>
    </row>
    <row r="15" spans="1:5">
      <c r="C15" s="1" t="s">
        <v>1460</v>
      </c>
    </row>
    <row r="17" spans="3:6">
      <c r="C17" s="1" t="s">
        <v>1461</v>
      </c>
      <c r="D17" s="1" t="s">
        <v>1463</v>
      </c>
    </row>
    <row r="18" spans="3:6">
      <c r="C18" s="1" t="s">
        <v>1462</v>
      </c>
      <c r="D18" s="1" t="s">
        <v>1465</v>
      </c>
    </row>
    <row r="21" spans="3:6">
      <c r="C21" s="1" t="s">
        <v>804</v>
      </c>
      <c r="D21" s="15">
        <v>1000000</v>
      </c>
    </row>
    <row r="22" spans="3:6">
      <c r="D22" s="15">
        <v>10</v>
      </c>
    </row>
    <row r="23" spans="3:6">
      <c r="C23" s="1" t="s">
        <v>1464</v>
      </c>
      <c r="D23" s="15">
        <f>D21/D22</f>
        <v>100000</v>
      </c>
    </row>
    <row r="24" spans="3:6">
      <c r="C24" s="1" t="s">
        <v>66</v>
      </c>
      <c r="D24" s="16">
        <f>D23/4</f>
        <v>25000</v>
      </c>
    </row>
    <row r="26" spans="3:6">
      <c r="C26" s="1" t="s">
        <v>1466</v>
      </c>
    </row>
    <row r="27" spans="3:6">
      <c r="C27" s="1" t="s">
        <v>1338</v>
      </c>
      <c r="D27" s="1">
        <v>1000000</v>
      </c>
    </row>
    <row r="28" spans="3:6">
      <c r="C28" s="1" t="s">
        <v>1467</v>
      </c>
      <c r="D28" s="28">
        <v>0.1</v>
      </c>
    </row>
    <row r="29" spans="3:6">
      <c r="C29" s="22" t="s">
        <v>1468</v>
      </c>
      <c r="D29" s="22"/>
      <c r="E29" s="22" t="s">
        <v>1477</v>
      </c>
      <c r="F29" s="22"/>
    </row>
    <row r="30" spans="3:6">
      <c r="C30" s="4" t="s">
        <v>1468</v>
      </c>
      <c r="D30" s="4"/>
      <c r="E30" s="4" t="s">
        <v>1470</v>
      </c>
      <c r="F30" s="26">
        <f>D27*D28/12*3</f>
        <v>25000</v>
      </c>
    </row>
    <row r="31" spans="3:6">
      <c r="C31" s="4" t="s">
        <v>1469</v>
      </c>
      <c r="D31" s="26">
        <f>D27*D28</f>
        <v>100000</v>
      </c>
      <c r="E31" s="4" t="s">
        <v>1474</v>
      </c>
      <c r="F31" s="26">
        <f>D27-F30</f>
        <v>975000</v>
      </c>
    </row>
    <row r="32" spans="3:6">
      <c r="C32" s="4" t="s">
        <v>1470</v>
      </c>
      <c r="D32" s="27">
        <f>D31/4</f>
        <v>25000</v>
      </c>
      <c r="E32" s="4" t="s">
        <v>1471</v>
      </c>
      <c r="F32" s="26">
        <f>F31*D28/12*3</f>
        <v>24375</v>
      </c>
    </row>
    <row r="33" spans="3:6">
      <c r="C33" s="4" t="s">
        <v>1471</v>
      </c>
      <c r="D33" s="27">
        <f>D32</f>
        <v>25000</v>
      </c>
      <c r="E33" s="4" t="s">
        <v>1475</v>
      </c>
      <c r="F33" s="26">
        <f>F31-F32</f>
        <v>950625</v>
      </c>
    </row>
    <row r="34" spans="3:6">
      <c r="C34" s="4" t="s">
        <v>1472</v>
      </c>
      <c r="D34" s="27">
        <f>D33</f>
        <v>25000</v>
      </c>
      <c r="E34" s="4" t="s">
        <v>1472</v>
      </c>
      <c r="F34" s="26">
        <f>F33*D28/12*3</f>
        <v>23765.625</v>
      </c>
    </row>
    <row r="35" spans="3:6">
      <c r="C35" s="4" t="s">
        <v>1473</v>
      </c>
      <c r="D35" s="27">
        <f>D34</f>
        <v>25000</v>
      </c>
      <c r="E35" s="4" t="s">
        <v>1476</v>
      </c>
      <c r="F35" s="26">
        <f>F33-F34</f>
        <v>926859.375</v>
      </c>
    </row>
    <row r="36" spans="3:6">
      <c r="C36" s="4"/>
      <c r="D36" s="4"/>
      <c r="E36" s="4" t="s">
        <v>1473</v>
      </c>
      <c r="F36" s="26">
        <f>F35*D28/12*3</f>
        <v>23171.484375</v>
      </c>
    </row>
    <row r="38" spans="3:6">
      <c r="C38" s="1" t="s">
        <v>1478</v>
      </c>
      <c r="D38" s="15">
        <v>12000000</v>
      </c>
      <c r="E38" s="15" t="s">
        <v>1479</v>
      </c>
    </row>
    <row r="39" spans="3:6">
      <c r="C39" s="1" t="s">
        <v>1480</v>
      </c>
      <c r="D39" s="15">
        <v>2500000</v>
      </c>
      <c r="E39" s="15" t="s">
        <v>191</v>
      </c>
    </row>
    <row r="40" spans="3:6">
      <c r="C40" s="4" t="s">
        <v>1468</v>
      </c>
      <c r="D40" s="26"/>
      <c r="E40" s="26"/>
    </row>
    <row r="41" spans="3:6">
      <c r="C41" s="119" t="s">
        <v>275</v>
      </c>
      <c r="D41" s="120"/>
      <c r="E41" s="121"/>
    </row>
    <row r="42" spans="3:6">
      <c r="C42" s="22" t="s">
        <v>46</v>
      </c>
      <c r="D42" s="89" t="s">
        <v>276</v>
      </c>
      <c r="E42" s="89" t="s">
        <v>277</v>
      </c>
    </row>
    <row r="43" spans="3:6">
      <c r="C43" s="4" t="s">
        <v>1481</v>
      </c>
      <c r="D43" s="26">
        <f>D38/4</f>
        <v>3000000</v>
      </c>
      <c r="E43" s="26"/>
    </row>
    <row r="44" spans="3:6">
      <c r="C44" s="4" t="s">
        <v>278</v>
      </c>
      <c r="D44" s="26"/>
      <c r="E44" s="26">
        <f>D39</f>
        <v>2500000</v>
      </c>
    </row>
    <row r="45" spans="3:6">
      <c r="C45" s="4" t="s">
        <v>1482</v>
      </c>
      <c r="D45" s="4"/>
      <c r="E45" s="27">
        <f>D43-E44</f>
        <v>500000</v>
      </c>
    </row>
    <row r="47" spans="3:6" ht="20.25">
      <c r="C47" s="8" t="s">
        <v>1477</v>
      </c>
    </row>
    <row r="48" spans="3:6">
      <c r="C48" s="119" t="s">
        <v>275</v>
      </c>
      <c r="D48" s="120"/>
      <c r="E48" s="121"/>
    </row>
    <row r="49" spans="3:5">
      <c r="C49" s="22" t="s">
        <v>46</v>
      </c>
      <c r="D49" s="89" t="s">
        <v>276</v>
      </c>
      <c r="E49" s="89" t="s">
        <v>277</v>
      </c>
    </row>
    <row r="50" spans="3:5">
      <c r="C50" s="4" t="s">
        <v>1481</v>
      </c>
      <c r="D50" s="26">
        <f>D39</f>
        <v>2500000</v>
      </c>
      <c r="E50" s="26"/>
    </row>
    <row r="51" spans="3:5">
      <c r="C51" s="4" t="s">
        <v>278</v>
      </c>
      <c r="D51" s="26"/>
      <c r="E51" s="26">
        <f>D50</f>
        <v>2500000</v>
      </c>
    </row>
    <row r="55" spans="3:5">
      <c r="C55" s="1" t="s">
        <v>1483</v>
      </c>
    </row>
    <row r="56" spans="3:5">
      <c r="C56" s="1" t="s">
        <v>1484</v>
      </c>
    </row>
    <row r="57" spans="3:5">
      <c r="D57" s="2" t="s">
        <v>1485</v>
      </c>
      <c r="E57" s="2" t="s">
        <v>1486</v>
      </c>
    </row>
    <row r="58" spans="3:5">
      <c r="D58" s="2" t="s">
        <v>339</v>
      </c>
      <c r="E58" s="2" t="s">
        <v>133</v>
      </c>
    </row>
    <row r="60" spans="3:5">
      <c r="C60" s="1" t="s">
        <v>1487</v>
      </c>
    </row>
    <row r="61" spans="3:5">
      <c r="D61" s="2" t="s">
        <v>1488</v>
      </c>
      <c r="E61" s="2" t="s">
        <v>1490</v>
      </c>
    </row>
    <row r="62" spans="3:5">
      <c r="D62" s="2" t="s">
        <v>1489</v>
      </c>
      <c r="E62" s="2" t="s">
        <v>133</v>
      </c>
    </row>
    <row r="64" spans="3:5">
      <c r="C64" s="1" t="s">
        <v>1491</v>
      </c>
    </row>
    <row r="65" spans="3:5">
      <c r="C65" s="1" t="s">
        <v>69</v>
      </c>
    </row>
    <row r="66" spans="3:5">
      <c r="D66" s="58" t="s">
        <v>1492</v>
      </c>
      <c r="E66" s="1" t="s">
        <v>1493</v>
      </c>
    </row>
    <row r="67" spans="3:5">
      <c r="D67" s="58" t="s">
        <v>550</v>
      </c>
      <c r="E67" s="1" t="s">
        <v>549</v>
      </c>
    </row>
    <row r="68" spans="3:5">
      <c r="C68" s="1" t="s">
        <v>1494</v>
      </c>
    </row>
    <row r="69" spans="3:5" ht="39">
      <c r="D69" s="81" t="s">
        <v>1495</v>
      </c>
      <c r="E69" s="81" t="s">
        <v>1496</v>
      </c>
    </row>
    <row r="71" spans="3:5">
      <c r="C71" s="1" t="s">
        <v>1497</v>
      </c>
    </row>
    <row r="74" spans="3:5">
      <c r="C74" s="1" t="s">
        <v>1498</v>
      </c>
    </row>
    <row r="76" spans="3:5">
      <c r="C76" s="1" t="s">
        <v>1499</v>
      </c>
    </row>
    <row r="78" spans="3:5">
      <c r="C78" s="1" t="s">
        <v>1500</v>
      </c>
    </row>
    <row r="80" spans="3:5">
      <c r="C80" s="1" t="s">
        <v>91</v>
      </c>
      <c r="D80" s="1" t="s">
        <v>1501</v>
      </c>
      <c r="E80" s="1" t="s">
        <v>86</v>
      </c>
    </row>
    <row r="81" spans="3:5">
      <c r="C81" s="1">
        <v>1398</v>
      </c>
      <c r="D81" s="1">
        <v>200</v>
      </c>
      <c r="E81" s="1">
        <v>100</v>
      </c>
    </row>
    <row r="82" spans="3:5">
      <c r="C82" s="1">
        <v>1399</v>
      </c>
      <c r="D82" s="1">
        <v>200</v>
      </c>
      <c r="E82" s="1">
        <v>150</v>
      </c>
    </row>
    <row r="83" spans="3:5">
      <c r="C83" s="1">
        <v>1400</v>
      </c>
      <c r="D83" s="1">
        <v>200</v>
      </c>
      <c r="E83" s="1">
        <v>160</v>
      </c>
    </row>
    <row r="84" spans="3:5">
      <c r="C84" s="1">
        <v>1401</v>
      </c>
      <c r="D84" s="1">
        <v>200</v>
      </c>
      <c r="E84" s="1">
        <v>140</v>
      </c>
    </row>
    <row r="85" spans="3:5">
      <c r="C85" s="1">
        <v>1402</v>
      </c>
      <c r="D85" s="1">
        <v>200</v>
      </c>
      <c r="E85" s="1">
        <v>250</v>
      </c>
    </row>
    <row r="86" spans="3:5">
      <c r="C86" s="1">
        <v>1403</v>
      </c>
      <c r="D86" s="1">
        <v>200</v>
      </c>
      <c r="E86" s="1">
        <v>190</v>
      </c>
    </row>
    <row r="87" spans="3:5">
      <c r="C87" s="1">
        <v>1404</v>
      </c>
      <c r="D87" s="1">
        <v>200</v>
      </c>
      <c r="E87" s="1">
        <v>180</v>
      </c>
    </row>
    <row r="88" spans="3:5">
      <c r="C88" s="1">
        <v>1405</v>
      </c>
      <c r="D88" s="1">
        <v>200</v>
      </c>
      <c r="E88" s="1">
        <v>170</v>
      </c>
    </row>
    <row r="89" spans="3:5">
      <c r="C89" s="1">
        <v>1406</v>
      </c>
      <c r="D89" s="1">
        <v>200</v>
      </c>
      <c r="E89" s="1">
        <v>180</v>
      </c>
    </row>
    <row r="92" spans="3:5">
      <c r="C92" s="1" t="s">
        <v>1502</v>
      </c>
    </row>
    <row r="93" spans="3:5">
      <c r="D93" s="1" t="s">
        <v>442</v>
      </c>
      <c r="E93" s="1" t="s">
        <v>1503</v>
      </c>
    </row>
    <row r="94" spans="3:5">
      <c r="C94" s="1" t="s">
        <v>436</v>
      </c>
      <c r="D94" s="1" t="s">
        <v>1504</v>
      </c>
      <c r="E94" s="1" t="s">
        <v>441</v>
      </c>
    </row>
    <row r="95" spans="3:5">
      <c r="C95" s="1" t="s">
        <v>435</v>
      </c>
      <c r="D95" s="1" t="s">
        <v>446</v>
      </c>
      <c r="E95" s="1" t="s">
        <v>1505</v>
      </c>
    </row>
    <row r="98" spans="3:6">
      <c r="C98" s="1" t="s">
        <v>1506</v>
      </c>
    </row>
    <row r="99" spans="3:6">
      <c r="C99" s="1" t="s">
        <v>1507</v>
      </c>
    </row>
    <row r="100" spans="3:6">
      <c r="C100" s="1" t="s">
        <v>1508</v>
      </c>
    </row>
    <row r="101" spans="3:6">
      <c r="C101" s="1" t="s">
        <v>1509</v>
      </c>
    </row>
    <row r="102" spans="3:6">
      <c r="C102" s="1" t="s">
        <v>1510</v>
      </c>
    </row>
    <row r="104" spans="3:6">
      <c r="C104" s="1" t="s">
        <v>1511</v>
      </c>
    </row>
    <row r="105" spans="3:6">
      <c r="C105" s="1" t="s">
        <v>1512</v>
      </c>
    </row>
    <row r="106" spans="3:6">
      <c r="C106" s="1" t="s">
        <v>1513</v>
      </c>
    </row>
    <row r="107" spans="3:6">
      <c r="C107" s="1" t="s">
        <v>1514</v>
      </c>
      <c r="D107" s="1" t="s">
        <v>1516</v>
      </c>
    </row>
    <row r="108" spans="3:6">
      <c r="D108" s="1" t="s">
        <v>549</v>
      </c>
      <c r="E108" s="1" t="s">
        <v>1515</v>
      </c>
      <c r="F108" s="1" t="s">
        <v>1517</v>
      </c>
    </row>
    <row r="110" spans="3:6">
      <c r="C110" s="1" t="s">
        <v>1518</v>
      </c>
    </row>
    <row r="113" spans="3:5">
      <c r="C113" s="1" t="s">
        <v>1519</v>
      </c>
    </row>
    <row r="114" spans="3:5">
      <c r="C114" s="1" t="s">
        <v>1520</v>
      </c>
    </row>
    <row r="115" spans="3:5">
      <c r="C115" s="1" t="s">
        <v>1521</v>
      </c>
    </row>
    <row r="117" spans="3:5">
      <c r="C117" s="1" t="s">
        <v>1522</v>
      </c>
    </row>
    <row r="118" spans="3:5">
      <c r="C118" s="1" t="s">
        <v>1523</v>
      </c>
    </row>
    <row r="119" spans="3:5">
      <c r="C119" s="1" t="s">
        <v>1524</v>
      </c>
    </row>
    <row r="120" spans="3:5">
      <c r="C120" s="1" t="s">
        <v>1525</v>
      </c>
    </row>
    <row r="121" spans="3:5">
      <c r="C121" s="1" t="s">
        <v>1526</v>
      </c>
    </row>
    <row r="122" spans="3:5">
      <c r="C122" s="1" t="s">
        <v>1527</v>
      </c>
      <c r="D122" s="1" t="s">
        <v>1528</v>
      </c>
    </row>
    <row r="123" spans="3:5">
      <c r="C123" s="1" t="s">
        <v>1529</v>
      </c>
    </row>
    <row r="125" spans="3:5">
      <c r="C125" s="1">
        <v>1</v>
      </c>
      <c r="D125" s="1" t="s">
        <v>1530</v>
      </c>
      <c r="E125" s="1" t="s">
        <v>1531</v>
      </c>
    </row>
    <row r="126" spans="3:5">
      <c r="E126" s="1" t="s">
        <v>1532</v>
      </c>
    </row>
    <row r="127" spans="3:5">
      <c r="E127" s="1" t="s">
        <v>1533</v>
      </c>
    </row>
    <row r="128" spans="3:5">
      <c r="D128" s="1" t="s">
        <v>1534</v>
      </c>
    </row>
    <row r="129" spans="3:4">
      <c r="C129" s="1" t="s">
        <v>1535</v>
      </c>
    </row>
    <row r="130" spans="3:4">
      <c r="C130" s="1" t="s">
        <v>1536</v>
      </c>
    </row>
    <row r="131" spans="3:4">
      <c r="C131" s="1" t="s">
        <v>1537</v>
      </c>
    </row>
    <row r="132" spans="3:4">
      <c r="C132" s="1" t="s">
        <v>1538</v>
      </c>
    </row>
    <row r="133" spans="3:4">
      <c r="C133" s="3" t="s">
        <v>1539</v>
      </c>
      <c r="D133" s="3" t="s">
        <v>1541</v>
      </c>
    </row>
    <row r="134" spans="3:4">
      <c r="C134" s="3" t="s">
        <v>1540</v>
      </c>
      <c r="D134" s="3" t="str">
        <f>C134</f>
        <v>مجمع</v>
      </c>
    </row>
    <row r="135" spans="3:4">
      <c r="C135" s="3" t="s">
        <v>119</v>
      </c>
      <c r="D135" s="3" t="s">
        <v>1542</v>
      </c>
    </row>
    <row r="136" spans="3:4">
      <c r="C136" s="3" t="s">
        <v>118</v>
      </c>
      <c r="D136" s="3" t="s">
        <v>1543</v>
      </c>
    </row>
    <row r="138" spans="3:4">
      <c r="C138" s="1" t="s">
        <v>1544</v>
      </c>
    </row>
    <row r="139" spans="3:4">
      <c r="C139" s="1" t="s">
        <v>1545</v>
      </c>
    </row>
    <row r="141" spans="3:4">
      <c r="C141" s="1" t="s">
        <v>1546</v>
      </c>
    </row>
    <row r="142" spans="3:4">
      <c r="C142" s="1" t="s">
        <v>1547</v>
      </c>
    </row>
    <row r="144" spans="3:4">
      <c r="C144" s="1" t="s">
        <v>1548</v>
      </c>
    </row>
    <row r="145" spans="3:3">
      <c r="C145" s="2" t="s">
        <v>1549</v>
      </c>
    </row>
    <row r="146" spans="3:3">
      <c r="C146" s="2" t="s">
        <v>1550</v>
      </c>
    </row>
  </sheetData>
  <mergeCells count="2">
    <mergeCell ref="C41:E41"/>
    <mergeCell ref="C48:E48"/>
  </mergeCells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4042F-B4D3-4502-A3EB-8ED1F4826086}">
  <dimension ref="A1:J10"/>
  <sheetViews>
    <sheetView rightToLeft="1" zoomScale="160" zoomScaleNormal="160" workbookViewId="0">
      <pane ySplit="1" topLeftCell="A2" activePane="bottomLeft" state="frozen"/>
      <selection activeCell="G136" sqref="G136"/>
      <selection pane="bottomLeft" activeCell="G136" sqref="G136"/>
    </sheetView>
  </sheetViews>
  <sheetFormatPr defaultRowHeight="19.5"/>
  <cols>
    <col min="1" max="1" width="9" style="1"/>
    <col min="2" max="2" width="14.875" style="1" customWidth="1"/>
    <col min="3" max="3" width="20.625" style="1" customWidth="1"/>
    <col min="4" max="4" width="15.375" style="1" customWidth="1"/>
    <col min="5" max="5" width="12" style="1" customWidth="1"/>
    <col min="6" max="6" width="16.875" style="1" customWidth="1"/>
    <col min="7" max="7" width="14.375" style="1" customWidth="1"/>
    <col min="8" max="16384" width="9" style="1"/>
  </cols>
  <sheetData>
    <row r="1" spans="1:10" ht="24" customHeight="1">
      <c r="A1" s="2" t="e" vm="1">
        <v>#VALUE!</v>
      </c>
      <c r="B1" s="1" t="s">
        <v>2</v>
      </c>
      <c r="D1" s="1" t="s">
        <v>1551</v>
      </c>
      <c r="E1" s="1" t="s">
        <v>0</v>
      </c>
    </row>
    <row r="4" spans="1:10">
      <c r="B4" s="2" t="s">
        <v>1553</v>
      </c>
      <c r="D4" s="2" t="s">
        <v>1503</v>
      </c>
      <c r="E4" s="2" t="s">
        <v>1552</v>
      </c>
      <c r="F4" s="2" t="s">
        <v>438</v>
      </c>
      <c r="G4" s="2" t="s">
        <v>1234</v>
      </c>
      <c r="H4" s="2" t="s">
        <v>1080</v>
      </c>
    </row>
    <row r="5" spans="1:10">
      <c r="B5" s="2" t="s">
        <v>1554</v>
      </c>
      <c r="D5" s="2" t="s">
        <v>1503</v>
      </c>
      <c r="E5" s="2" t="s">
        <v>1552</v>
      </c>
      <c r="F5" s="2" t="s">
        <v>438</v>
      </c>
      <c r="G5" s="2" t="s">
        <v>1234</v>
      </c>
      <c r="H5" s="2" t="s">
        <v>1080</v>
      </c>
    </row>
    <row r="6" spans="1:10">
      <c r="B6" s="1" t="s">
        <v>1555</v>
      </c>
      <c r="D6" s="2" t="s">
        <v>1503</v>
      </c>
      <c r="E6" s="2" t="s">
        <v>1552</v>
      </c>
      <c r="F6" s="2" t="s">
        <v>438</v>
      </c>
      <c r="G6" s="2" t="s">
        <v>1234</v>
      </c>
      <c r="H6" s="2" t="s">
        <v>1080</v>
      </c>
    </row>
    <row r="7" spans="1:10">
      <c r="B7" s="1" t="s">
        <v>1556</v>
      </c>
      <c r="C7" s="1" t="s">
        <v>455</v>
      </c>
      <c r="D7" s="1" t="s">
        <v>1557</v>
      </c>
      <c r="E7" s="2" t="s">
        <v>1552</v>
      </c>
      <c r="F7" s="2" t="s">
        <v>438</v>
      </c>
      <c r="G7" s="2" t="s">
        <v>1234</v>
      </c>
      <c r="H7" s="2" t="s">
        <v>1080</v>
      </c>
    </row>
    <row r="8" spans="1:10">
      <c r="B8" s="1" t="s">
        <v>1555</v>
      </c>
      <c r="C8" s="53" t="s">
        <v>1558</v>
      </c>
      <c r="E8" s="1" t="s">
        <v>1552</v>
      </c>
      <c r="F8" s="2" t="s">
        <v>438</v>
      </c>
      <c r="G8" s="2" t="s">
        <v>1234</v>
      </c>
      <c r="H8" s="2" t="s">
        <v>1080</v>
      </c>
      <c r="I8" s="1" t="s">
        <v>182</v>
      </c>
      <c r="J8" s="1" t="s">
        <v>1557</v>
      </c>
    </row>
    <row r="10" spans="1:10">
      <c r="B10" s="1" t="s">
        <v>1559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A6B2C-A067-44F9-9150-3F26477C8238}">
  <dimension ref="A1:G140"/>
  <sheetViews>
    <sheetView rightToLeft="1" view="pageBreakPreview" zoomScale="60" zoomScaleNormal="180" workbookViewId="0">
      <pane ySplit="1" topLeftCell="A2" activePane="bottomLeft" state="frozen"/>
      <selection activeCell="E1" sqref="E1"/>
      <selection pane="bottomLeft" activeCell="E1" sqref="E1"/>
    </sheetView>
  </sheetViews>
  <sheetFormatPr defaultRowHeight="19.5"/>
  <cols>
    <col min="1" max="2" width="9" style="1"/>
    <col min="3" max="3" width="21.5" style="1" customWidth="1"/>
    <col min="4" max="4" width="17.625" style="1" customWidth="1"/>
    <col min="5" max="5" width="18.625" style="1" customWidth="1"/>
    <col min="6" max="6" width="16.875" style="1" customWidth="1"/>
    <col min="7" max="7" width="19.125" style="1" customWidth="1"/>
    <col min="8" max="16384" width="9" style="1"/>
  </cols>
  <sheetData>
    <row r="1" spans="1:5" ht="24" customHeight="1">
      <c r="A1" s="2" t="e" vm="1">
        <v>#VALUE!</v>
      </c>
      <c r="B1" s="1" t="s">
        <v>2</v>
      </c>
      <c r="D1" s="1" t="s">
        <v>186</v>
      </c>
      <c r="E1" s="1" t="s">
        <v>0</v>
      </c>
    </row>
    <row r="3" spans="1:5">
      <c r="B3" s="1" t="s">
        <v>187</v>
      </c>
    </row>
    <row r="4" spans="1:5">
      <c r="C4" s="92" t="s">
        <v>188</v>
      </c>
      <c r="D4" s="92"/>
      <c r="E4" s="92"/>
    </row>
    <row r="5" spans="1:5">
      <c r="C5" s="92" t="s">
        <v>7</v>
      </c>
      <c r="D5" s="92"/>
      <c r="E5" s="92"/>
    </row>
    <row r="6" spans="1:5">
      <c r="C6" s="92" t="s">
        <v>189</v>
      </c>
      <c r="D6" s="92"/>
      <c r="E6" s="92"/>
    </row>
    <row r="8" spans="1:5">
      <c r="C8" s="1" t="s">
        <v>190</v>
      </c>
    </row>
    <row r="9" spans="1:5">
      <c r="C9" s="1" t="s">
        <v>191</v>
      </c>
      <c r="D9" s="1" t="s">
        <v>192</v>
      </c>
      <c r="E9" s="1" t="s">
        <v>193</v>
      </c>
    </row>
    <row r="11" spans="1:5">
      <c r="C11" s="1" t="s">
        <v>7</v>
      </c>
      <c r="E11" s="1" t="s">
        <v>199</v>
      </c>
    </row>
    <row r="12" spans="1:5">
      <c r="C12" s="1" t="s">
        <v>194</v>
      </c>
    </row>
    <row r="13" spans="1:5">
      <c r="C13" s="1" t="s">
        <v>195</v>
      </c>
    </row>
    <row r="14" spans="1:5">
      <c r="C14" s="1" t="s">
        <v>196</v>
      </c>
    </row>
    <row r="15" spans="1:5">
      <c r="C15" s="1" t="s">
        <v>197</v>
      </c>
      <c r="D15" s="1" t="s">
        <v>198</v>
      </c>
    </row>
    <row r="17" spans="3:7">
      <c r="C17" s="1" t="s">
        <v>200</v>
      </c>
    </row>
    <row r="19" spans="3:7">
      <c r="C19" s="1" t="s">
        <v>201</v>
      </c>
    </row>
    <row r="20" spans="3:7">
      <c r="C20" s="3"/>
      <c r="D20" s="21"/>
      <c r="E20" s="21" t="s">
        <v>206</v>
      </c>
      <c r="F20" s="21" t="s">
        <v>207</v>
      </c>
      <c r="G20" s="21" t="s">
        <v>212</v>
      </c>
    </row>
    <row r="21" spans="3:7">
      <c r="C21" s="91" t="s">
        <v>202</v>
      </c>
      <c r="D21" s="5" t="s">
        <v>203</v>
      </c>
      <c r="E21" s="3" t="s">
        <v>208</v>
      </c>
      <c r="F21" s="3" t="s">
        <v>209</v>
      </c>
      <c r="G21" s="3" t="s">
        <v>213</v>
      </c>
    </row>
    <row r="22" spans="3:7">
      <c r="C22" s="91"/>
      <c r="D22" s="5" t="s">
        <v>204</v>
      </c>
      <c r="E22" s="3" t="s">
        <v>210</v>
      </c>
      <c r="F22" s="3" t="s">
        <v>211</v>
      </c>
      <c r="G22" s="3" t="s">
        <v>218</v>
      </c>
    </row>
    <row r="23" spans="3:7">
      <c r="C23" s="3" t="s">
        <v>205</v>
      </c>
      <c r="D23" s="3"/>
      <c r="E23" s="3" t="s">
        <v>225</v>
      </c>
      <c r="F23" s="3" t="s">
        <v>226</v>
      </c>
      <c r="G23" s="3" t="s">
        <v>227</v>
      </c>
    </row>
    <row r="25" spans="3:7">
      <c r="C25" s="3" t="s">
        <v>86</v>
      </c>
      <c r="D25" s="3">
        <v>1000</v>
      </c>
    </row>
    <row r="26" spans="3:7">
      <c r="C26" s="3" t="s">
        <v>214</v>
      </c>
      <c r="D26" s="3">
        <v>-600</v>
      </c>
    </row>
    <row r="27" spans="3:7">
      <c r="C27" s="3" t="s">
        <v>215</v>
      </c>
      <c r="D27" s="3">
        <f>SUM(D25:D26)</f>
        <v>400</v>
      </c>
    </row>
    <row r="28" spans="3:7">
      <c r="C28" s="3" t="s">
        <v>216</v>
      </c>
      <c r="D28" s="3">
        <v>-150</v>
      </c>
    </row>
    <row r="29" spans="3:7">
      <c r="C29" s="3" t="s">
        <v>217</v>
      </c>
      <c r="D29" s="3">
        <f>D27+D28</f>
        <v>250</v>
      </c>
    </row>
    <row r="31" spans="3:7">
      <c r="C31" s="1" t="s">
        <v>219</v>
      </c>
      <c r="D31" s="1" t="s">
        <v>220</v>
      </c>
      <c r="E31" s="1">
        <v>150</v>
      </c>
    </row>
    <row r="32" spans="3:7">
      <c r="D32" s="1" t="s">
        <v>86</v>
      </c>
      <c r="E32" s="1">
        <v>500</v>
      </c>
    </row>
    <row r="34" spans="3:5">
      <c r="C34" s="1" t="s">
        <v>221</v>
      </c>
      <c r="D34" s="1">
        <v>500</v>
      </c>
    </row>
    <row r="35" spans="3:5">
      <c r="C35" s="1" t="s">
        <v>222</v>
      </c>
      <c r="D35" s="1">
        <v>-150</v>
      </c>
    </row>
    <row r="36" spans="3:5">
      <c r="C36" s="1" t="s">
        <v>223</v>
      </c>
      <c r="D36" s="1">
        <f>SUM(D34:D35)</f>
        <v>350</v>
      </c>
      <c r="E36" s="1" t="s">
        <v>224</v>
      </c>
    </row>
    <row r="39" spans="3:5" ht="20.25">
      <c r="C39" s="23" t="s">
        <v>228</v>
      </c>
    </row>
    <row r="40" spans="3:5">
      <c r="C40" s="1" t="s">
        <v>229</v>
      </c>
    </row>
    <row r="41" spans="3:5">
      <c r="C41" s="1" t="s">
        <v>230</v>
      </c>
    </row>
    <row r="42" spans="3:5">
      <c r="C42" s="1" t="s">
        <v>231</v>
      </c>
    </row>
    <row r="43" spans="3:5">
      <c r="C43" s="2" t="s">
        <v>232</v>
      </c>
      <c r="D43" s="1" t="s">
        <v>233</v>
      </c>
    </row>
    <row r="45" spans="3:5">
      <c r="C45" s="1" t="s">
        <v>235</v>
      </c>
    </row>
    <row r="47" spans="3:5">
      <c r="C47" s="24" t="s">
        <v>234</v>
      </c>
    </row>
    <row r="48" spans="3:5">
      <c r="C48" s="2" t="s">
        <v>236</v>
      </c>
      <c r="D48" s="1" t="s">
        <v>237</v>
      </c>
    </row>
    <row r="49" spans="3:4">
      <c r="C49" s="2" t="s">
        <v>244</v>
      </c>
      <c r="D49" s="1" t="s">
        <v>245</v>
      </c>
    </row>
    <row r="50" spans="3:4">
      <c r="C50" s="2" t="s">
        <v>246</v>
      </c>
      <c r="D50" s="1" t="s">
        <v>247</v>
      </c>
    </row>
    <row r="52" spans="3:4">
      <c r="C52" s="1" t="s">
        <v>238</v>
      </c>
    </row>
    <row r="53" spans="3:4">
      <c r="C53" s="25" t="s">
        <v>239</v>
      </c>
    </row>
    <row r="54" spans="3:4">
      <c r="C54" s="25" t="s">
        <v>240</v>
      </c>
    </row>
    <row r="55" spans="3:4">
      <c r="C55" s="25" t="s">
        <v>241</v>
      </c>
    </row>
    <row r="56" spans="3:4">
      <c r="C56" s="1" t="s">
        <v>242</v>
      </c>
    </row>
    <row r="57" spans="3:4">
      <c r="C57" s="1" t="s">
        <v>243</v>
      </c>
    </row>
    <row r="59" spans="3:4">
      <c r="C59" s="1" t="s">
        <v>248</v>
      </c>
    </row>
    <row r="60" spans="3:4">
      <c r="C60" s="1" t="s">
        <v>249</v>
      </c>
    </row>
    <row r="61" spans="3:4">
      <c r="C61" s="1" t="s">
        <v>250</v>
      </c>
    </row>
    <row r="62" spans="3:4">
      <c r="C62" s="1" t="s">
        <v>251</v>
      </c>
    </row>
    <row r="63" spans="3:4">
      <c r="C63" s="1" t="s">
        <v>252</v>
      </c>
    </row>
    <row r="64" spans="3:4">
      <c r="C64" s="1">
        <v>1</v>
      </c>
      <c r="D64" s="1" t="s">
        <v>253</v>
      </c>
    </row>
    <row r="65" spans="3:5">
      <c r="C65" s="1">
        <v>2</v>
      </c>
      <c r="D65" s="1" t="s">
        <v>254</v>
      </c>
    </row>
    <row r="66" spans="3:5">
      <c r="C66" s="1">
        <v>3</v>
      </c>
      <c r="D66" s="1" t="s">
        <v>255</v>
      </c>
    </row>
    <row r="67" spans="3:5">
      <c r="D67" s="1" t="s">
        <v>256</v>
      </c>
      <c r="E67" s="1" t="s">
        <v>262</v>
      </c>
    </row>
    <row r="68" spans="3:5">
      <c r="D68" s="1" t="s">
        <v>257</v>
      </c>
      <c r="E68" s="1" t="s">
        <v>263</v>
      </c>
    </row>
    <row r="69" spans="3:5">
      <c r="D69" s="1" t="s">
        <v>258</v>
      </c>
      <c r="E69" s="1" t="s">
        <v>264</v>
      </c>
    </row>
    <row r="71" spans="3:5">
      <c r="C71" s="1" t="s">
        <v>259</v>
      </c>
    </row>
    <row r="72" spans="3:5">
      <c r="C72" s="1" t="s">
        <v>260</v>
      </c>
    </row>
    <row r="73" spans="3:5">
      <c r="C73" s="1" t="s">
        <v>261</v>
      </c>
    </row>
    <row r="75" spans="3:5">
      <c r="C75" s="1" t="s">
        <v>265</v>
      </c>
    </row>
    <row r="76" spans="3:5">
      <c r="C76" s="1" t="s">
        <v>266</v>
      </c>
    </row>
    <row r="77" spans="3:5">
      <c r="C77" s="1" t="s">
        <v>267</v>
      </c>
      <c r="D77" s="1" t="s">
        <v>268</v>
      </c>
      <c r="E77" s="1" t="s">
        <v>269</v>
      </c>
    </row>
    <row r="78" spans="3:5">
      <c r="C78" s="1" t="s">
        <v>270</v>
      </c>
      <c r="D78" s="1" t="s">
        <v>271</v>
      </c>
    </row>
    <row r="80" spans="3:5">
      <c r="C80" s="1" t="s">
        <v>272</v>
      </c>
    </row>
    <row r="81" spans="3:6">
      <c r="C81" s="1" t="s">
        <v>273</v>
      </c>
    </row>
    <row r="82" spans="3:6">
      <c r="C82" s="1" t="s">
        <v>274</v>
      </c>
    </row>
    <row r="83" spans="3:6">
      <c r="D83" s="103" t="s">
        <v>275</v>
      </c>
      <c r="E83" s="103"/>
      <c r="F83" s="103"/>
    </row>
    <row r="84" spans="3:6">
      <c r="D84" s="26" t="s">
        <v>46</v>
      </c>
      <c r="E84" s="26" t="s">
        <v>276</v>
      </c>
      <c r="F84" s="26" t="s">
        <v>277</v>
      </c>
    </row>
    <row r="85" spans="3:6">
      <c r="D85" s="26" t="s">
        <v>278</v>
      </c>
      <c r="E85" s="26">
        <v>20000000</v>
      </c>
      <c r="F85" s="26"/>
    </row>
    <row r="86" spans="3:6">
      <c r="D86" s="26" t="s">
        <v>279</v>
      </c>
      <c r="E86" s="26">
        <v>80000000</v>
      </c>
      <c r="F86" s="26"/>
    </row>
    <row r="87" spans="3:6">
      <c r="D87" s="26" t="s">
        <v>280</v>
      </c>
      <c r="E87" s="26"/>
      <c r="F87" s="26">
        <v>100000000</v>
      </c>
    </row>
    <row r="88" spans="3:6">
      <c r="E88" s="16">
        <f>SUM(E85:E87)</f>
        <v>100000000</v>
      </c>
      <c r="F88" s="16">
        <f>SUM(F85:F87)</f>
        <v>100000000</v>
      </c>
    </row>
    <row r="90" spans="3:6">
      <c r="C90" s="1" t="s">
        <v>280</v>
      </c>
    </row>
    <row r="91" spans="3:6">
      <c r="C91" s="1" t="s">
        <v>281</v>
      </c>
      <c r="E91" s="16">
        <f>F88</f>
        <v>100000000</v>
      </c>
    </row>
    <row r="92" spans="3:6">
      <c r="C92" s="1" t="s">
        <v>282</v>
      </c>
    </row>
    <row r="93" spans="3:6">
      <c r="C93" s="1" t="s">
        <v>283</v>
      </c>
      <c r="E93" s="16">
        <f>-E86</f>
        <v>-80000000</v>
      </c>
    </row>
    <row r="94" spans="3:6">
      <c r="C94" s="1" t="s">
        <v>284</v>
      </c>
      <c r="E94" s="16">
        <f>E91+E93</f>
        <v>20000000</v>
      </c>
    </row>
    <row r="96" spans="3:6">
      <c r="C96" s="1" t="s">
        <v>285</v>
      </c>
    </row>
    <row r="97" spans="3:6">
      <c r="C97" s="1" t="s">
        <v>286</v>
      </c>
      <c r="D97" s="15">
        <v>4</v>
      </c>
    </row>
    <row r="98" spans="3:6">
      <c r="C98" s="1" t="s">
        <v>287</v>
      </c>
      <c r="D98" s="15">
        <v>100000000</v>
      </c>
    </row>
    <row r="99" spans="3:6">
      <c r="C99" s="1" t="s">
        <v>288</v>
      </c>
      <c r="D99" s="15">
        <v>3</v>
      </c>
    </row>
    <row r="100" spans="3:6">
      <c r="C100" s="1" t="s">
        <v>289</v>
      </c>
      <c r="D100" s="15">
        <f>D98/D97*D99</f>
        <v>75000000</v>
      </c>
    </row>
    <row r="102" spans="3:6">
      <c r="D102" s="103" t="s">
        <v>275</v>
      </c>
      <c r="E102" s="103"/>
      <c r="F102" s="103"/>
    </row>
    <row r="103" spans="3:6">
      <c r="D103" s="26" t="s">
        <v>46</v>
      </c>
      <c r="E103" s="26" t="s">
        <v>276</v>
      </c>
      <c r="F103" s="26" t="s">
        <v>277</v>
      </c>
    </row>
    <row r="104" spans="3:6">
      <c r="D104" s="4" t="s">
        <v>290</v>
      </c>
      <c r="E104" s="27">
        <f>D100</f>
        <v>75000000</v>
      </c>
      <c r="F104" s="4"/>
    </row>
    <row r="105" spans="3:6">
      <c r="D105" s="4" t="s">
        <v>291</v>
      </c>
      <c r="E105" s="4"/>
      <c r="F105" s="27">
        <f>E104</f>
        <v>75000000</v>
      </c>
    </row>
    <row r="107" spans="3:6">
      <c r="C107" s="1" t="s">
        <v>292</v>
      </c>
    </row>
    <row r="108" spans="3:6">
      <c r="C108" s="1" t="s">
        <v>293</v>
      </c>
    </row>
    <row r="109" spans="3:6">
      <c r="C109" s="1" t="s">
        <v>294</v>
      </c>
    </row>
    <row r="110" spans="3:6">
      <c r="C110" s="1" t="s">
        <v>295</v>
      </c>
    </row>
    <row r="113" spans="3:6">
      <c r="C113" s="1" t="s">
        <v>296</v>
      </c>
    </row>
    <row r="114" spans="3:6">
      <c r="C114" s="1" t="s">
        <v>262</v>
      </c>
    </row>
    <row r="115" spans="3:6">
      <c r="C115" s="1" t="s">
        <v>297</v>
      </c>
    </row>
    <row r="116" spans="3:6">
      <c r="C116" s="1" t="s">
        <v>298</v>
      </c>
    </row>
    <row r="117" spans="3:6">
      <c r="C117" s="2" t="s">
        <v>299</v>
      </c>
      <c r="D117" s="2">
        <v>100</v>
      </c>
    </row>
    <row r="118" spans="3:6">
      <c r="C118" s="2" t="s">
        <v>300</v>
      </c>
      <c r="D118" s="2">
        <v>80</v>
      </c>
    </row>
    <row r="120" spans="3:6">
      <c r="C120" s="2" t="s">
        <v>299</v>
      </c>
      <c r="D120" s="1" t="s">
        <v>301</v>
      </c>
      <c r="E120" s="1" t="s">
        <v>303</v>
      </c>
    </row>
    <row r="121" spans="3:6">
      <c r="C121" s="2" t="s">
        <v>300</v>
      </c>
      <c r="D121" s="1" t="s">
        <v>302</v>
      </c>
      <c r="E121" s="1" t="s">
        <v>304</v>
      </c>
    </row>
    <row r="123" spans="3:6">
      <c r="D123" s="93" t="s">
        <v>305</v>
      </c>
      <c r="E123" s="93"/>
      <c r="F123" s="93"/>
    </row>
    <row r="124" spans="3:6">
      <c r="D124" s="4" t="s">
        <v>46</v>
      </c>
      <c r="E124" s="4" t="s">
        <v>276</v>
      </c>
      <c r="F124" s="4" t="s">
        <v>277</v>
      </c>
    </row>
    <row r="125" spans="3:6">
      <c r="D125" s="4" t="s">
        <v>306</v>
      </c>
      <c r="E125" s="26">
        <f>1000000*D118</f>
        <v>80000000</v>
      </c>
      <c r="F125" s="26"/>
    </row>
    <row r="126" spans="3:6">
      <c r="D126" s="4" t="s">
        <v>307</v>
      </c>
      <c r="E126" s="26"/>
      <c r="F126" s="26">
        <f>E125</f>
        <v>80000000</v>
      </c>
    </row>
    <row r="128" spans="3:6">
      <c r="C128" s="1" t="s">
        <v>308</v>
      </c>
    </row>
    <row r="129" spans="3:6">
      <c r="C129" s="2" t="s">
        <v>299</v>
      </c>
      <c r="D129" s="2">
        <v>100</v>
      </c>
      <c r="E129" s="1" t="s">
        <v>309</v>
      </c>
    </row>
    <row r="130" spans="3:6">
      <c r="C130" s="2" t="s">
        <v>300</v>
      </c>
      <c r="D130" s="2">
        <v>120</v>
      </c>
      <c r="E130" s="1" t="s">
        <v>310</v>
      </c>
    </row>
    <row r="132" spans="3:6">
      <c r="D132" s="103" t="s">
        <v>305</v>
      </c>
      <c r="E132" s="103"/>
      <c r="F132" s="103"/>
    </row>
    <row r="133" spans="3:6">
      <c r="D133" s="26" t="s">
        <v>46</v>
      </c>
      <c r="E133" s="26" t="s">
        <v>276</v>
      </c>
      <c r="F133" s="26" t="s">
        <v>277</v>
      </c>
    </row>
    <row r="134" spans="3:6">
      <c r="D134" s="26" t="s">
        <v>306</v>
      </c>
      <c r="E134" s="26">
        <f>1000000*D130</f>
        <v>120000000</v>
      </c>
      <c r="F134" s="26"/>
    </row>
    <row r="135" spans="3:6">
      <c r="D135" s="26" t="s">
        <v>307</v>
      </c>
      <c r="E135" s="26"/>
      <c r="F135" s="26">
        <f>1000000*D129</f>
        <v>100000000</v>
      </c>
    </row>
    <row r="136" spans="3:6">
      <c r="D136" s="26" t="s">
        <v>311</v>
      </c>
      <c r="E136" s="26"/>
      <c r="F136" s="26">
        <f>E134-F135</f>
        <v>20000000</v>
      </c>
    </row>
    <row r="138" spans="3:6">
      <c r="C138" s="1" t="s">
        <v>312</v>
      </c>
    </row>
    <row r="139" spans="3:6">
      <c r="C139" s="1" t="s">
        <v>313</v>
      </c>
    </row>
    <row r="140" spans="3:6">
      <c r="C140" s="1" t="s">
        <v>314</v>
      </c>
    </row>
  </sheetData>
  <mergeCells count="8">
    <mergeCell ref="D102:F102"/>
    <mergeCell ref="D123:F123"/>
    <mergeCell ref="D132:F132"/>
    <mergeCell ref="C4:E4"/>
    <mergeCell ref="C5:E5"/>
    <mergeCell ref="C6:E6"/>
    <mergeCell ref="C21:C22"/>
    <mergeCell ref="D83:F83"/>
  </mergeCells>
  <pageMargins left="0.7" right="0.7" top="0.75" bottom="0.75" header="0.3" footer="0.3"/>
  <pageSetup scale="64" orientation="portrait" r:id="rId1"/>
  <headerFooter>
    <oddFooter>&amp;C&amp;"B Zar,Bold"&amp;14&amp;P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7BE0C-DA9B-4AFB-9393-4DE2CF074DDC}">
  <dimension ref="A1:G141"/>
  <sheetViews>
    <sheetView rightToLeft="1" view="pageBreakPreview" zoomScale="60" zoomScaleNormal="180" workbookViewId="0">
      <pane ySplit="1" topLeftCell="A2" activePane="bottomLeft" state="frozen"/>
      <selection activeCell="E1" sqref="E1"/>
      <selection pane="bottomLeft" activeCell="E1" sqref="E1"/>
    </sheetView>
  </sheetViews>
  <sheetFormatPr defaultRowHeight="19.5"/>
  <cols>
    <col min="1" max="2" width="9" style="1"/>
    <col min="3" max="3" width="20.625" style="1" customWidth="1"/>
    <col min="4" max="4" width="15.375" style="1" customWidth="1"/>
    <col min="5" max="5" width="20.125" style="1" customWidth="1"/>
    <col min="6" max="6" width="16.875" style="1" customWidth="1"/>
    <col min="7" max="7" width="14.375" style="1" customWidth="1"/>
    <col min="8" max="16384" width="9" style="1"/>
  </cols>
  <sheetData>
    <row r="1" spans="1:7" ht="24" customHeight="1">
      <c r="A1" s="2" t="e" vm="1">
        <v>#VALUE!</v>
      </c>
      <c r="B1" s="1" t="s">
        <v>2</v>
      </c>
      <c r="D1" s="1" t="s">
        <v>315</v>
      </c>
      <c r="E1" s="1" t="s">
        <v>0</v>
      </c>
    </row>
    <row r="3" spans="1:7">
      <c r="C3" s="1" t="s">
        <v>257</v>
      </c>
    </row>
    <row r="4" spans="1:7">
      <c r="C4" s="1" t="s">
        <v>316</v>
      </c>
    </row>
    <row r="5" spans="1:7">
      <c r="C5" s="1" t="s">
        <v>317</v>
      </c>
    </row>
    <row r="6" spans="1:7">
      <c r="C6" s="1" t="s">
        <v>318</v>
      </c>
    </row>
    <row r="8" spans="1:7">
      <c r="C8" s="1" t="s">
        <v>319</v>
      </c>
    </row>
    <row r="10" spans="1:7">
      <c r="C10" s="1" t="s">
        <v>320</v>
      </c>
    </row>
    <row r="11" spans="1:7">
      <c r="C11" s="1" t="s">
        <v>321</v>
      </c>
      <c r="D11" s="15">
        <v>10000000000</v>
      </c>
      <c r="E11" s="1" t="s">
        <v>336</v>
      </c>
      <c r="F11" s="1" t="s">
        <v>337</v>
      </c>
    </row>
    <row r="12" spans="1:7">
      <c r="C12" s="1" t="s">
        <v>322</v>
      </c>
      <c r="D12" s="28">
        <v>0.28999999999999998</v>
      </c>
      <c r="E12" s="1" t="s">
        <v>338</v>
      </c>
      <c r="F12" s="1" t="s">
        <v>339</v>
      </c>
    </row>
    <row r="13" spans="1:7">
      <c r="C13" s="1" t="s">
        <v>323</v>
      </c>
      <c r="D13" s="16">
        <f>D11*D12</f>
        <v>2900000000</v>
      </c>
      <c r="E13" s="1" t="s">
        <v>340</v>
      </c>
      <c r="F13" s="1" cm="1">
        <f t="array" ref="F13">[1]!J_DIFF(F11,F12)</f>
        <v>15</v>
      </c>
    </row>
    <row r="14" spans="1:7">
      <c r="C14" s="1" t="s">
        <v>324</v>
      </c>
      <c r="D14" s="29">
        <f>D13/12</f>
        <v>241666666.66666666</v>
      </c>
      <c r="E14" s="1" t="s">
        <v>341</v>
      </c>
      <c r="F14" s="15">
        <f>D13/365*F13</f>
        <v>119178082.19178082</v>
      </c>
    </row>
    <row r="15" spans="1:7">
      <c r="C15" s="1" t="s">
        <v>325</v>
      </c>
      <c r="D15" s="29">
        <f>D14</f>
        <v>241666666.66666666</v>
      </c>
    </row>
    <row r="16" spans="1:7">
      <c r="C16" s="1" t="s">
        <v>326</v>
      </c>
      <c r="D16" s="29">
        <f t="shared" ref="D16:D25" si="0">D15</f>
        <v>241666666.66666666</v>
      </c>
      <c r="E16" s="90" t="s">
        <v>275</v>
      </c>
      <c r="F16" s="90"/>
      <c r="G16" s="90"/>
    </row>
    <row r="17" spans="3:7">
      <c r="C17" s="1" t="s">
        <v>327</v>
      </c>
      <c r="D17" s="29">
        <f t="shared" si="0"/>
        <v>241666666.66666666</v>
      </c>
      <c r="E17" s="21" t="s">
        <v>46</v>
      </c>
      <c r="F17" s="21" t="s">
        <v>276</v>
      </c>
      <c r="G17" s="21" t="s">
        <v>277</v>
      </c>
    </row>
    <row r="18" spans="3:7">
      <c r="C18" s="1" t="s">
        <v>328</v>
      </c>
      <c r="D18" s="29">
        <f t="shared" si="0"/>
        <v>241666666.66666666</v>
      </c>
      <c r="E18" s="4" t="s">
        <v>342</v>
      </c>
      <c r="F18" s="27">
        <f>F14</f>
        <v>119178082.19178082</v>
      </c>
      <c r="G18" s="4"/>
    </row>
    <row r="19" spans="3:7">
      <c r="C19" s="1" t="s">
        <v>329</v>
      </c>
      <c r="D19" s="29">
        <f t="shared" si="0"/>
        <v>241666666.66666666</v>
      </c>
      <c r="E19" s="4" t="s">
        <v>343</v>
      </c>
      <c r="F19" s="4"/>
      <c r="G19" s="27">
        <f>F18</f>
        <v>119178082.19178082</v>
      </c>
    </row>
    <row r="20" spans="3:7">
      <c r="C20" s="1" t="s">
        <v>330</v>
      </c>
      <c r="D20" s="29">
        <f t="shared" si="0"/>
        <v>241666666.66666666</v>
      </c>
    </row>
    <row r="21" spans="3:7">
      <c r="C21" s="1" t="s">
        <v>331</v>
      </c>
      <c r="D21" s="29">
        <f t="shared" si="0"/>
        <v>241666666.66666666</v>
      </c>
      <c r="E21" s="95" t="s">
        <v>275</v>
      </c>
      <c r="F21" s="95"/>
      <c r="G21" s="95"/>
    </row>
    <row r="22" spans="3:7">
      <c r="C22" s="1" t="s">
        <v>332</v>
      </c>
      <c r="D22" s="29">
        <f t="shared" si="0"/>
        <v>241666666.66666666</v>
      </c>
      <c r="E22" s="30" t="s">
        <v>46</v>
      </c>
      <c r="F22" s="30" t="s">
        <v>276</v>
      </c>
      <c r="G22" s="30" t="s">
        <v>277</v>
      </c>
    </row>
    <row r="23" spans="3:7">
      <c r="C23" s="1" t="s">
        <v>333</v>
      </c>
      <c r="D23" s="29">
        <f t="shared" si="0"/>
        <v>241666666.66666666</v>
      </c>
      <c r="E23" s="17" t="s">
        <v>278</v>
      </c>
      <c r="F23" s="17">
        <f>D14</f>
        <v>241666666.66666666</v>
      </c>
      <c r="G23" s="17"/>
    </row>
    <row r="24" spans="3:7">
      <c r="C24" s="1" t="s">
        <v>334</v>
      </c>
      <c r="D24" s="29">
        <f t="shared" si="0"/>
        <v>241666666.66666666</v>
      </c>
      <c r="E24" s="17" t="str">
        <f>E18</f>
        <v>سود سپرده دریافتنی</v>
      </c>
      <c r="F24" s="17"/>
      <c r="G24" s="17">
        <f>F18</f>
        <v>119178082.19178082</v>
      </c>
    </row>
    <row r="25" spans="3:7">
      <c r="C25" s="1" t="s">
        <v>335</v>
      </c>
      <c r="D25" s="29">
        <f t="shared" si="0"/>
        <v>241666666.66666666</v>
      </c>
      <c r="E25" s="17" t="str">
        <f>E19</f>
        <v>درامد سود سپرده بانکی</v>
      </c>
      <c r="F25" s="17"/>
      <c r="G25" s="17">
        <f>F23-G24</f>
        <v>122488584.47488584</v>
      </c>
    </row>
    <row r="26" spans="3:7">
      <c r="D26" s="29">
        <f>SUM(D14:D25)</f>
        <v>2899999999.9999995</v>
      </c>
    </row>
    <row r="28" spans="3:7">
      <c r="C28" s="1" t="s">
        <v>344</v>
      </c>
    </row>
    <row r="29" spans="3:7">
      <c r="C29" s="1" t="s">
        <v>345</v>
      </c>
      <c r="D29" s="1" t="s">
        <v>346</v>
      </c>
      <c r="E29" s="95" t="s">
        <v>352</v>
      </c>
      <c r="F29" s="95"/>
      <c r="G29" s="95"/>
    </row>
    <row r="30" spans="3:7">
      <c r="C30" s="1" t="s">
        <v>347</v>
      </c>
      <c r="D30" s="15">
        <v>1000000</v>
      </c>
      <c r="E30" s="30" t="s">
        <v>46</v>
      </c>
      <c r="F30" s="30" t="s">
        <v>276</v>
      </c>
      <c r="G30" s="30" t="s">
        <v>277</v>
      </c>
    </row>
    <row r="31" spans="3:7">
      <c r="C31" s="1" t="s">
        <v>348</v>
      </c>
      <c r="D31" s="28">
        <v>0.24</v>
      </c>
      <c r="E31" s="4" t="s">
        <v>349</v>
      </c>
      <c r="F31" s="27">
        <f>D30</f>
        <v>1000000</v>
      </c>
      <c r="G31" s="4"/>
    </row>
    <row r="32" spans="3:7">
      <c r="C32" s="1" t="s">
        <v>350</v>
      </c>
      <c r="D32" s="1" t="s">
        <v>351</v>
      </c>
      <c r="E32" s="4" t="s">
        <v>278</v>
      </c>
      <c r="F32" s="4"/>
      <c r="G32" s="27">
        <f>F31</f>
        <v>1000000</v>
      </c>
    </row>
    <row r="34" spans="3:7">
      <c r="E34" s="95" t="s">
        <v>353</v>
      </c>
      <c r="F34" s="95"/>
      <c r="G34" s="95"/>
    </row>
    <row r="35" spans="3:7">
      <c r="E35" s="30" t="s">
        <v>46</v>
      </c>
      <c r="F35" s="30" t="s">
        <v>276</v>
      </c>
      <c r="G35" s="30" t="s">
        <v>277</v>
      </c>
    </row>
    <row r="36" spans="3:7">
      <c r="E36" s="4" t="s">
        <v>278</v>
      </c>
      <c r="F36" s="27">
        <f>D30*D31/4</f>
        <v>60000</v>
      </c>
      <c r="G36" s="4"/>
    </row>
    <row r="37" spans="3:7">
      <c r="E37" s="4" t="s">
        <v>354</v>
      </c>
      <c r="F37" s="4"/>
      <c r="G37" s="27">
        <f>F36</f>
        <v>60000</v>
      </c>
    </row>
    <row r="38" spans="3:7">
      <c r="C38" s="1" t="s">
        <v>344</v>
      </c>
    </row>
    <row r="39" spans="3:7">
      <c r="C39" s="1" t="s">
        <v>345</v>
      </c>
      <c r="D39" s="1" t="s">
        <v>346</v>
      </c>
    </row>
    <row r="40" spans="3:7">
      <c r="C40" s="1" t="s">
        <v>347</v>
      </c>
      <c r="D40" s="15">
        <v>1000000</v>
      </c>
    </row>
    <row r="41" spans="3:7">
      <c r="C41" s="1" t="s">
        <v>348</v>
      </c>
      <c r="D41" s="28">
        <v>0.24</v>
      </c>
      <c r="E41" s="95" t="s">
        <v>358</v>
      </c>
      <c r="F41" s="95"/>
      <c r="G41" s="95"/>
    </row>
    <row r="42" spans="3:7">
      <c r="C42" s="1" t="s">
        <v>350</v>
      </c>
      <c r="D42" s="1" t="s">
        <v>351</v>
      </c>
      <c r="E42" s="30" t="s">
        <v>46</v>
      </c>
      <c r="F42" s="30" t="s">
        <v>276</v>
      </c>
      <c r="G42" s="30" t="s">
        <v>277</v>
      </c>
    </row>
    <row r="43" spans="3:7">
      <c r="C43" s="1" t="s">
        <v>355</v>
      </c>
      <c r="D43" s="1" t="s">
        <v>356</v>
      </c>
      <c r="E43" s="4" t="s">
        <v>349</v>
      </c>
      <c r="F43" s="4">
        <v>1000000</v>
      </c>
      <c r="G43" s="4"/>
    </row>
    <row r="44" spans="3:7">
      <c r="C44" s="1" t="s">
        <v>357</v>
      </c>
      <c r="D44" s="15">
        <v>1020000</v>
      </c>
      <c r="E44" s="4" t="s">
        <v>359</v>
      </c>
      <c r="F44" s="4">
        <v>20000</v>
      </c>
      <c r="G44" s="4"/>
    </row>
    <row r="45" spans="3:7">
      <c r="E45" s="4" t="s">
        <v>278</v>
      </c>
      <c r="F45" s="4"/>
      <c r="G45" s="4">
        <f>F43+F44</f>
        <v>1020000</v>
      </c>
    </row>
    <row r="47" spans="3:7">
      <c r="C47" s="1" t="s">
        <v>360</v>
      </c>
    </row>
    <row r="48" spans="3:7">
      <c r="C48" s="1" t="s">
        <v>361</v>
      </c>
    </row>
    <row r="49" spans="3:7">
      <c r="C49" s="1" t="s">
        <v>362</v>
      </c>
      <c r="E49" s="95" t="s">
        <v>358</v>
      </c>
      <c r="F49" s="95"/>
      <c r="G49" s="95"/>
    </row>
    <row r="50" spans="3:7">
      <c r="C50" s="1" t="s">
        <v>324</v>
      </c>
      <c r="D50" s="15">
        <v>20000</v>
      </c>
      <c r="E50" s="30" t="s">
        <v>46</v>
      </c>
      <c r="F50" s="30" t="s">
        <v>276</v>
      </c>
      <c r="G50" s="30" t="s">
        <v>277</v>
      </c>
    </row>
    <row r="51" spans="3:7">
      <c r="C51" s="31" t="s">
        <v>325</v>
      </c>
      <c r="D51" s="32">
        <v>20000</v>
      </c>
      <c r="E51" s="4" t="s">
        <v>278</v>
      </c>
      <c r="F51" s="26">
        <v>60000</v>
      </c>
      <c r="G51" s="26"/>
    </row>
    <row r="52" spans="3:7">
      <c r="C52" s="31" t="s">
        <v>326</v>
      </c>
      <c r="D52" s="32">
        <v>20000</v>
      </c>
      <c r="E52" s="4" t="str">
        <f>E37</f>
        <v>درامد نگهداشت اوراق مشارکت</v>
      </c>
      <c r="F52" s="26"/>
      <c r="G52" s="26">
        <v>40000</v>
      </c>
    </row>
    <row r="53" spans="3:7">
      <c r="E53" s="4" t="str">
        <f>E44</f>
        <v>سود اوراق دریافتنی</v>
      </c>
      <c r="F53" s="26"/>
      <c r="G53" s="26">
        <f>F44</f>
        <v>20000</v>
      </c>
    </row>
    <row r="56" spans="3:7">
      <c r="C56" s="1" t="s">
        <v>363</v>
      </c>
    </row>
    <row r="57" spans="3:7">
      <c r="C57" s="1" t="s">
        <v>264</v>
      </c>
      <c r="E57" s="1" t="s">
        <v>369</v>
      </c>
      <c r="F57" s="1">
        <v>0</v>
      </c>
    </row>
    <row r="58" spans="3:7">
      <c r="C58" s="1" t="s">
        <v>364</v>
      </c>
    </row>
    <row r="59" spans="3:7">
      <c r="C59" s="1" t="s">
        <v>365</v>
      </c>
      <c r="E59" s="95" t="s">
        <v>275</v>
      </c>
      <c r="F59" s="95"/>
      <c r="G59" s="95"/>
    </row>
    <row r="60" spans="3:7">
      <c r="C60" s="1" t="s">
        <v>366</v>
      </c>
      <c r="D60" s="15">
        <v>2000000000</v>
      </c>
      <c r="E60" s="30" t="s">
        <v>46</v>
      </c>
      <c r="F60" s="30" t="s">
        <v>276</v>
      </c>
      <c r="G60" s="30" t="s">
        <v>277</v>
      </c>
    </row>
    <row r="61" spans="3:7">
      <c r="C61" s="1" t="s">
        <v>367</v>
      </c>
      <c r="D61" s="15">
        <v>200000000</v>
      </c>
      <c r="E61" s="4" t="s">
        <v>278</v>
      </c>
      <c r="F61" s="27">
        <f>D60</f>
        <v>2000000000</v>
      </c>
      <c r="G61" s="4"/>
    </row>
    <row r="62" spans="3:7">
      <c r="E62" s="4" t="s">
        <v>368</v>
      </c>
      <c r="F62" s="4"/>
      <c r="G62" s="27">
        <f>F61</f>
        <v>2000000000</v>
      </c>
    </row>
    <row r="64" spans="3:7">
      <c r="E64" s="1" t="s">
        <v>370</v>
      </c>
      <c r="F64" s="1">
        <v>1000</v>
      </c>
    </row>
    <row r="65" spans="3:7" ht="20.25">
      <c r="E65" s="104" t="s">
        <v>275</v>
      </c>
      <c r="F65" s="104"/>
      <c r="G65" s="104"/>
    </row>
    <row r="66" spans="3:7" ht="20.25">
      <c r="E66" s="33" t="s">
        <v>46</v>
      </c>
      <c r="F66" s="33" t="s">
        <v>276</v>
      </c>
      <c r="G66" s="33" t="s">
        <v>277</v>
      </c>
    </row>
    <row r="67" spans="3:7" ht="20.25">
      <c r="E67" s="34" t="s">
        <v>278</v>
      </c>
      <c r="F67" s="35">
        <f>G68+G69</f>
        <v>202000000000</v>
      </c>
      <c r="G67" s="34"/>
    </row>
    <row r="68" spans="3:7" ht="20.25">
      <c r="E68" s="34" t="s">
        <v>371</v>
      </c>
      <c r="F68" s="34"/>
      <c r="G68" s="35">
        <f>G62</f>
        <v>2000000000</v>
      </c>
    </row>
    <row r="69" spans="3:7" ht="20.25">
      <c r="E69" s="34" t="s">
        <v>372</v>
      </c>
      <c r="F69" s="34"/>
      <c r="G69" s="35">
        <f>D61*F64</f>
        <v>200000000000</v>
      </c>
    </row>
    <row r="71" spans="3:7">
      <c r="C71" s="1" t="s">
        <v>373</v>
      </c>
    </row>
    <row r="72" spans="3:7">
      <c r="C72" s="2" t="s">
        <v>374</v>
      </c>
    </row>
    <row r="73" spans="3:7">
      <c r="C73" s="2" t="s">
        <v>375</v>
      </c>
    </row>
    <row r="75" spans="3:7">
      <c r="C75" s="1" t="s">
        <v>376</v>
      </c>
    </row>
    <row r="76" spans="3:7">
      <c r="C76" s="25" t="s">
        <v>377</v>
      </c>
    </row>
    <row r="77" spans="3:7">
      <c r="C77" s="25" t="s">
        <v>378</v>
      </c>
    </row>
    <row r="78" spans="3:7">
      <c r="C78" s="25" t="s">
        <v>379</v>
      </c>
    </row>
    <row r="79" spans="3:7">
      <c r="C79" s="25" t="s">
        <v>380</v>
      </c>
    </row>
    <row r="80" spans="3:7">
      <c r="C80" s="25"/>
    </row>
    <row r="82" spans="3:3">
      <c r="C82" s="1" t="s">
        <v>381</v>
      </c>
    </row>
    <row r="83" spans="3:3">
      <c r="C83" s="1" t="s">
        <v>382</v>
      </c>
    </row>
    <row r="84" spans="3:3">
      <c r="C84" s="1" t="s">
        <v>383</v>
      </c>
    </row>
    <row r="85" spans="3:3">
      <c r="C85" s="1" t="s">
        <v>384</v>
      </c>
    </row>
    <row r="86" spans="3:3">
      <c r="C86" s="1" t="s">
        <v>385</v>
      </c>
    </row>
    <row r="87" spans="3:3">
      <c r="C87" s="1" t="s">
        <v>18</v>
      </c>
    </row>
    <row r="88" spans="3:3">
      <c r="C88" s="1" t="s">
        <v>388</v>
      </c>
    </row>
    <row r="89" spans="3:3">
      <c r="C89" s="1" t="s">
        <v>386</v>
      </c>
    </row>
    <row r="90" spans="3:3">
      <c r="C90" s="1" t="s">
        <v>387</v>
      </c>
    </row>
    <row r="92" spans="3:3">
      <c r="C92" s="1" t="s">
        <v>389</v>
      </c>
    </row>
    <row r="93" spans="3:3">
      <c r="C93" s="1" t="s">
        <v>390</v>
      </c>
    </row>
    <row r="94" spans="3:3">
      <c r="C94" s="1" t="s">
        <v>381</v>
      </c>
    </row>
    <row r="95" spans="3:3">
      <c r="C95" s="1" t="s">
        <v>391</v>
      </c>
    </row>
    <row r="96" spans="3:3">
      <c r="C96" s="1" t="s">
        <v>392</v>
      </c>
    </row>
    <row r="98" spans="2:6">
      <c r="B98" s="1" t="s">
        <v>401</v>
      </c>
      <c r="C98" s="4" t="s">
        <v>393</v>
      </c>
      <c r="D98" s="4" t="s">
        <v>396</v>
      </c>
      <c r="E98" s="4" t="s">
        <v>397</v>
      </c>
    </row>
    <row r="99" spans="2:6">
      <c r="C99" s="4" t="s">
        <v>398</v>
      </c>
      <c r="D99" s="4" t="s">
        <v>225</v>
      </c>
      <c r="E99" s="4" t="s">
        <v>225</v>
      </c>
    </row>
    <row r="100" spans="2:6">
      <c r="B100" s="1" t="s">
        <v>402</v>
      </c>
      <c r="C100" s="4" t="s">
        <v>394</v>
      </c>
      <c r="D100" s="4" t="s">
        <v>399</v>
      </c>
      <c r="E100" s="4" t="s">
        <v>225</v>
      </c>
      <c r="F100" s="1" t="s">
        <v>400</v>
      </c>
    </row>
    <row r="101" spans="2:6">
      <c r="B101" s="1" t="s">
        <v>403</v>
      </c>
      <c r="C101" s="4" t="s">
        <v>395</v>
      </c>
      <c r="D101" s="4" t="s">
        <v>399</v>
      </c>
      <c r="E101" s="4" t="s">
        <v>399</v>
      </c>
    </row>
    <row r="104" spans="2:6">
      <c r="E104" s="28">
        <v>0.9</v>
      </c>
      <c r="F104" s="1" t="s">
        <v>404</v>
      </c>
    </row>
    <row r="105" spans="2:6">
      <c r="B105" s="1" t="s">
        <v>408</v>
      </c>
      <c r="F105" s="1" t="s">
        <v>405</v>
      </c>
    </row>
    <row r="106" spans="2:6">
      <c r="F106" s="1" t="s">
        <v>406</v>
      </c>
    </row>
    <row r="107" spans="2:6">
      <c r="F107" s="1" t="s">
        <v>407</v>
      </c>
    </row>
    <row r="108" spans="2:6">
      <c r="C108" s="36">
        <v>0.25</v>
      </c>
      <c r="E108" s="1" t="s">
        <v>408</v>
      </c>
      <c r="F108" s="1" t="s">
        <v>409</v>
      </c>
    </row>
    <row r="113" spans="3:4">
      <c r="C113" s="1" t="s">
        <v>410</v>
      </c>
    </row>
    <row r="114" spans="3:4">
      <c r="C114" s="2" t="s">
        <v>411</v>
      </c>
      <c r="D114" s="2">
        <v>1000</v>
      </c>
    </row>
    <row r="115" spans="3:4">
      <c r="C115" s="2" t="s">
        <v>413</v>
      </c>
      <c r="D115" s="2">
        <v>1000</v>
      </c>
    </row>
    <row r="116" spans="3:4">
      <c r="C116" s="2" t="s">
        <v>412</v>
      </c>
      <c r="D116" s="2">
        <v>60</v>
      </c>
    </row>
    <row r="117" spans="3:4">
      <c r="C117" s="2" t="s">
        <v>413</v>
      </c>
      <c r="D117" s="2">
        <v>60</v>
      </c>
    </row>
    <row r="119" spans="3:4">
      <c r="C119" s="1" t="s">
        <v>414</v>
      </c>
    </row>
    <row r="120" spans="3:4">
      <c r="C120" s="1" t="s">
        <v>415</v>
      </c>
    </row>
    <row r="121" spans="3:4">
      <c r="C121" s="1" t="s">
        <v>416</v>
      </c>
    </row>
    <row r="122" spans="3:4">
      <c r="C122" s="1" t="s">
        <v>417</v>
      </c>
    </row>
    <row r="124" spans="3:4">
      <c r="C124" s="1" t="s">
        <v>418</v>
      </c>
    </row>
    <row r="125" spans="3:4">
      <c r="C125" s="1" t="s">
        <v>419</v>
      </c>
    </row>
    <row r="126" spans="3:4">
      <c r="C126" s="1" t="s">
        <v>420</v>
      </c>
    </row>
    <row r="127" spans="3:4">
      <c r="C127" s="1" t="s">
        <v>421</v>
      </c>
    </row>
    <row r="129" spans="3:7">
      <c r="C129" s="1" t="s">
        <v>100</v>
      </c>
    </row>
    <row r="130" spans="3:7">
      <c r="C130" s="1" t="s">
        <v>422</v>
      </c>
    </row>
    <row r="131" spans="3:7">
      <c r="C131" s="1" t="s">
        <v>423</v>
      </c>
    </row>
    <row r="133" spans="3:7">
      <c r="C133" s="1" t="s">
        <v>312</v>
      </c>
    </row>
    <row r="134" spans="3:7">
      <c r="C134" s="1" t="s">
        <v>424</v>
      </c>
    </row>
    <row r="135" spans="3:7">
      <c r="C135" s="1" t="s">
        <v>425</v>
      </c>
      <c r="E135" s="1" t="s">
        <v>427</v>
      </c>
      <c r="F135" s="1" t="s">
        <v>428</v>
      </c>
      <c r="G135" s="1" t="s">
        <v>429</v>
      </c>
    </row>
    <row r="136" spans="3:7">
      <c r="C136" s="1" t="s">
        <v>426</v>
      </c>
      <c r="D136" s="1" t="s">
        <v>86</v>
      </c>
      <c r="E136" s="15">
        <v>1000</v>
      </c>
      <c r="F136" s="15">
        <v>500000</v>
      </c>
      <c r="G136" s="15">
        <f>E136*F136</f>
        <v>500000000</v>
      </c>
    </row>
    <row r="138" spans="3:7">
      <c r="C138" s="1" t="s">
        <v>430</v>
      </c>
      <c r="D138" s="1">
        <v>900000</v>
      </c>
      <c r="E138" s="1" t="s">
        <v>191</v>
      </c>
    </row>
    <row r="139" spans="3:7">
      <c r="C139" s="1" t="s">
        <v>431</v>
      </c>
    </row>
    <row r="140" spans="3:7">
      <c r="C140" s="1" t="s">
        <v>432</v>
      </c>
    </row>
    <row r="141" spans="3:7">
      <c r="C141" s="1" t="s">
        <v>433</v>
      </c>
    </row>
  </sheetData>
  <mergeCells count="8">
    <mergeCell ref="E59:G59"/>
    <mergeCell ref="E65:G65"/>
    <mergeCell ref="E16:G16"/>
    <mergeCell ref="E21:G21"/>
    <mergeCell ref="E29:G29"/>
    <mergeCell ref="E34:G34"/>
    <mergeCell ref="E41:G41"/>
    <mergeCell ref="E49:G49"/>
  </mergeCells>
  <phoneticPr fontId="2" type="noConversion"/>
  <pageMargins left="0.7" right="0.7" top="0.75" bottom="0.75" header="0.3" footer="0.3"/>
  <pageSetup scale="79" firstPageNumber="15" orientation="portrait" r:id="rId1"/>
  <headerFooter>
    <oddFooter>&amp;C&amp;"B Zar,Regular"صفحه &amp;P از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56C2E-EACE-44A8-BD8E-73FFA605EAED}">
  <dimension ref="A1:H198"/>
  <sheetViews>
    <sheetView rightToLeft="1" view="pageBreakPreview" zoomScale="60" zoomScaleNormal="180" workbookViewId="0">
      <pane ySplit="1" topLeftCell="A127" activePane="bottomLeft" state="frozen"/>
      <selection activeCell="E1" sqref="E1"/>
      <selection pane="bottomLeft" activeCell="E1" sqref="E1"/>
    </sheetView>
  </sheetViews>
  <sheetFormatPr defaultRowHeight="19.5"/>
  <cols>
    <col min="1" max="2" width="9" style="1"/>
    <col min="3" max="3" width="29" style="1" customWidth="1"/>
    <col min="4" max="4" width="22.625" style="1" customWidth="1"/>
    <col min="5" max="5" width="19.5" style="1" customWidth="1"/>
    <col min="6" max="8" width="11.25" style="1" customWidth="1"/>
    <col min="9" max="16384" width="9" style="1"/>
  </cols>
  <sheetData>
    <row r="1" spans="1:7" ht="24" customHeight="1">
      <c r="A1" s="2" t="e" vm="1">
        <v>#VALUE!</v>
      </c>
      <c r="B1" s="1" t="s">
        <v>2</v>
      </c>
      <c r="D1" s="1" t="s">
        <v>434</v>
      </c>
      <c r="E1" s="1" t="s">
        <v>0</v>
      </c>
    </row>
    <row r="2" spans="1:7">
      <c r="D2" s="1" t="s">
        <v>442</v>
      </c>
      <c r="E2" s="1" t="s">
        <v>443</v>
      </c>
      <c r="G2" s="1" t="s">
        <v>437</v>
      </c>
    </row>
    <row r="3" spans="1:7">
      <c r="C3" s="2" t="s">
        <v>436</v>
      </c>
      <c r="D3" s="1" t="s">
        <v>444</v>
      </c>
      <c r="E3" s="1" t="s">
        <v>445</v>
      </c>
      <c r="G3" s="1" t="s">
        <v>438</v>
      </c>
    </row>
    <row r="4" spans="1:7">
      <c r="C4" s="2" t="s">
        <v>435</v>
      </c>
      <c r="D4" s="1" t="s">
        <v>446</v>
      </c>
      <c r="E4" s="1" t="s">
        <v>447</v>
      </c>
      <c r="G4" s="1" t="s">
        <v>439</v>
      </c>
    </row>
    <row r="5" spans="1:7">
      <c r="G5" s="1" t="s">
        <v>440</v>
      </c>
    </row>
    <row r="6" spans="1:7">
      <c r="G6" s="1" t="s">
        <v>441</v>
      </c>
    </row>
    <row r="7" spans="1:7">
      <c r="C7" s="1" t="s">
        <v>448</v>
      </c>
    </row>
    <row r="8" spans="1:7">
      <c r="C8" s="1" t="s">
        <v>449</v>
      </c>
    </row>
    <row r="9" spans="1:7">
      <c r="C9" s="1" t="s">
        <v>450</v>
      </c>
      <c r="D9" s="1" t="s">
        <v>451</v>
      </c>
      <c r="E9" s="1" t="s">
        <v>452</v>
      </c>
    </row>
    <row r="10" spans="1:7">
      <c r="D10" s="1" t="s">
        <v>453</v>
      </c>
      <c r="E10" s="1" t="s">
        <v>127</v>
      </c>
    </row>
    <row r="11" spans="1:7">
      <c r="D11" s="1" t="s">
        <v>454</v>
      </c>
      <c r="E11" s="1" t="s">
        <v>452</v>
      </c>
    </row>
    <row r="12" spans="1:7">
      <c r="E12" s="28">
        <v>0.8</v>
      </c>
    </row>
    <row r="13" spans="1:7">
      <c r="C13" s="15" t="s">
        <v>46</v>
      </c>
      <c r="D13" s="15" t="s">
        <v>456</v>
      </c>
      <c r="E13" s="15" t="s">
        <v>457</v>
      </c>
      <c r="F13" s="15" t="s">
        <v>458</v>
      </c>
    </row>
    <row r="14" spans="1:7">
      <c r="C14" s="15" t="s">
        <v>455</v>
      </c>
      <c r="D14" s="15">
        <v>1000</v>
      </c>
      <c r="E14" s="15">
        <v>1000</v>
      </c>
      <c r="F14" s="15">
        <f>D14+E14</f>
        <v>2000</v>
      </c>
    </row>
    <row r="16" spans="1:7">
      <c r="C16" s="1" t="s">
        <v>459</v>
      </c>
    </row>
    <row r="17" spans="2:4">
      <c r="C17" s="1" t="s">
        <v>460</v>
      </c>
    </row>
    <row r="18" spans="2:4">
      <c r="C18" s="1" t="s">
        <v>461</v>
      </c>
      <c r="D18" s="1" t="s">
        <v>462</v>
      </c>
    </row>
    <row r="19" spans="2:4">
      <c r="D19" s="1" t="s">
        <v>463</v>
      </c>
    </row>
    <row r="22" spans="2:4">
      <c r="C22" s="1" t="s">
        <v>464</v>
      </c>
    </row>
    <row r="23" spans="2:4">
      <c r="C23" s="2" t="s">
        <v>465</v>
      </c>
      <c r="D23" s="2" t="s">
        <v>459</v>
      </c>
    </row>
    <row r="24" spans="2:4">
      <c r="C24" s="2" t="s">
        <v>466</v>
      </c>
      <c r="D24" s="2" t="s">
        <v>467</v>
      </c>
    </row>
    <row r="25" spans="2:4">
      <c r="C25" s="2" t="s">
        <v>468</v>
      </c>
      <c r="D25" s="2" t="s">
        <v>469</v>
      </c>
    </row>
    <row r="26" spans="2:4">
      <c r="C26" s="2" t="s">
        <v>470</v>
      </c>
      <c r="D26" s="2" t="s">
        <v>471</v>
      </c>
    </row>
    <row r="29" spans="2:4">
      <c r="C29" s="1" t="s">
        <v>472</v>
      </c>
    </row>
    <row r="30" spans="2:4">
      <c r="B30" s="92" t="s">
        <v>476</v>
      </c>
      <c r="C30" s="1" t="s">
        <v>473</v>
      </c>
    </row>
    <row r="31" spans="2:4">
      <c r="B31" s="92"/>
      <c r="C31" s="1" t="s">
        <v>474</v>
      </c>
      <c r="D31" s="92" t="s">
        <v>477</v>
      </c>
    </row>
    <row r="32" spans="2:4">
      <c r="C32" s="1" t="s">
        <v>475</v>
      </c>
      <c r="D32" s="92"/>
    </row>
    <row r="34" spans="3:6">
      <c r="C34" s="1" t="s">
        <v>35</v>
      </c>
      <c r="D34" s="4" t="s">
        <v>46</v>
      </c>
      <c r="E34" s="4" t="s">
        <v>47</v>
      </c>
      <c r="F34" s="4" t="s">
        <v>48</v>
      </c>
    </row>
    <row r="35" spans="3:6">
      <c r="D35" s="4" t="s">
        <v>473</v>
      </c>
      <c r="E35" s="26">
        <v>10000</v>
      </c>
      <c r="F35" s="26">
        <v>2000</v>
      </c>
    </row>
    <row r="36" spans="3:6">
      <c r="D36" s="4" t="s">
        <v>474</v>
      </c>
      <c r="E36" s="26">
        <v>2000</v>
      </c>
      <c r="F36" s="26">
        <v>6000</v>
      </c>
    </row>
    <row r="37" spans="3:6">
      <c r="D37" s="4" t="s">
        <v>475</v>
      </c>
      <c r="E37" s="26">
        <v>1000</v>
      </c>
      <c r="F37" s="26">
        <v>5000</v>
      </c>
    </row>
    <row r="38" spans="3:6" ht="20.25" thickBot="1">
      <c r="D38" s="37"/>
      <c r="E38" s="38">
        <f>SUM(E35:E37)</f>
        <v>13000</v>
      </c>
      <c r="F38" s="38">
        <f>SUM(F35:F37)</f>
        <v>13000</v>
      </c>
    </row>
    <row r="39" spans="3:6" ht="20.25" thickTop="1"/>
    <row r="40" spans="3:6">
      <c r="C40" s="1" t="s">
        <v>478</v>
      </c>
    </row>
    <row r="41" spans="3:6">
      <c r="C41" s="1" t="s">
        <v>479</v>
      </c>
    </row>
    <row r="43" spans="3:6">
      <c r="C43" s="1" t="s">
        <v>480</v>
      </c>
      <c r="D43" s="1" t="s">
        <v>481</v>
      </c>
    </row>
    <row r="44" spans="3:6">
      <c r="C44" s="1" t="s">
        <v>482</v>
      </c>
      <c r="D44" s="1" t="s">
        <v>483</v>
      </c>
    </row>
    <row r="46" spans="3:6">
      <c r="C46" s="1" t="s">
        <v>484</v>
      </c>
    </row>
    <row r="47" spans="3:6">
      <c r="C47" s="1" t="s">
        <v>485</v>
      </c>
    </row>
    <row r="49" spans="3:8">
      <c r="C49" s="103" t="s">
        <v>487</v>
      </c>
      <c r="D49" s="103"/>
      <c r="E49" s="103"/>
      <c r="F49" s="103" t="s">
        <v>486</v>
      </c>
      <c r="G49" s="103"/>
      <c r="H49" s="103"/>
    </row>
    <row r="50" spans="3:8">
      <c r="C50" s="26" t="s">
        <v>488</v>
      </c>
      <c r="D50" s="26" t="s">
        <v>489</v>
      </c>
      <c r="E50" s="26" t="s">
        <v>490</v>
      </c>
      <c r="F50" s="26" t="s">
        <v>488</v>
      </c>
      <c r="G50" s="26" t="s">
        <v>489</v>
      </c>
      <c r="H50" s="26" t="str">
        <f>E50</f>
        <v>جمع کل</v>
      </c>
    </row>
    <row r="51" spans="3:8">
      <c r="C51" s="26">
        <f>E51/D51</f>
        <v>0.5</v>
      </c>
      <c r="D51" s="26">
        <v>2000</v>
      </c>
      <c r="E51" s="26">
        <v>1000</v>
      </c>
      <c r="F51" s="26">
        <f>H51/G51</f>
        <v>2</v>
      </c>
      <c r="G51" s="26">
        <v>500</v>
      </c>
      <c r="H51" s="26">
        <v>1000</v>
      </c>
    </row>
    <row r="52" spans="3:8">
      <c r="C52" s="91" t="s">
        <v>492</v>
      </c>
      <c r="D52" s="91"/>
      <c r="E52" s="91"/>
      <c r="F52" s="102" t="s">
        <v>491</v>
      </c>
      <c r="G52" s="102"/>
      <c r="H52" s="102"/>
    </row>
    <row r="53" spans="3:8">
      <c r="C53" s="91"/>
      <c r="D53" s="91"/>
      <c r="E53" s="91"/>
      <c r="F53" s="102"/>
      <c r="G53" s="102"/>
      <c r="H53" s="102"/>
    </row>
    <row r="54" spans="3:8">
      <c r="C54" s="91"/>
      <c r="D54" s="91"/>
      <c r="E54" s="91"/>
      <c r="F54" s="102"/>
      <c r="G54" s="102"/>
      <c r="H54" s="102"/>
    </row>
    <row r="55" spans="3:8">
      <c r="C55" s="91"/>
      <c r="D55" s="91"/>
      <c r="E55" s="91"/>
      <c r="F55" s="102"/>
      <c r="G55" s="102"/>
      <c r="H55" s="102"/>
    </row>
    <row r="57" spans="3:8">
      <c r="C57" s="1" t="s">
        <v>493</v>
      </c>
      <c r="D57" s="1" t="s">
        <v>494</v>
      </c>
      <c r="F57" s="1" t="s">
        <v>495</v>
      </c>
    </row>
    <row r="58" spans="3:8">
      <c r="C58" s="1" t="s">
        <v>496</v>
      </c>
    </row>
    <row r="59" spans="3:8">
      <c r="C59" s="1" t="s">
        <v>497</v>
      </c>
      <c r="D59" s="1" t="s">
        <v>498</v>
      </c>
      <c r="F59" s="1" t="s">
        <v>499</v>
      </c>
    </row>
    <row r="61" spans="3:8">
      <c r="C61" s="1" t="s">
        <v>500</v>
      </c>
    </row>
    <row r="64" spans="3:8">
      <c r="C64" s="1" t="s">
        <v>473</v>
      </c>
      <c r="D64" s="1" t="s">
        <v>509</v>
      </c>
      <c r="E64" s="1" t="s">
        <v>511</v>
      </c>
    </row>
    <row r="65" spans="3:5">
      <c r="C65" s="1" t="s">
        <v>474</v>
      </c>
      <c r="D65" s="1" t="s">
        <v>509</v>
      </c>
      <c r="E65" s="1" t="s">
        <v>511</v>
      </c>
    </row>
    <row r="66" spans="3:5">
      <c r="C66" s="1" t="s">
        <v>475</v>
      </c>
      <c r="D66" s="1" t="s">
        <v>510</v>
      </c>
      <c r="E66" s="1" t="s">
        <v>510</v>
      </c>
    </row>
    <row r="69" spans="3:5">
      <c r="C69" s="1" t="s">
        <v>503</v>
      </c>
      <c r="E69" s="1" t="s">
        <v>502</v>
      </c>
    </row>
    <row r="70" spans="3:5">
      <c r="C70" s="1" t="s">
        <v>504</v>
      </c>
      <c r="E70" s="1" t="s">
        <v>501</v>
      </c>
    </row>
    <row r="71" spans="3:5">
      <c r="C71" s="1" t="s">
        <v>505</v>
      </c>
    </row>
    <row r="72" spans="3:5">
      <c r="C72" s="1" t="s">
        <v>506</v>
      </c>
    </row>
    <row r="73" spans="3:5">
      <c r="C73" s="1" t="s">
        <v>507</v>
      </c>
    </row>
    <row r="74" spans="3:5">
      <c r="C74" s="1" t="s">
        <v>508</v>
      </c>
    </row>
    <row r="77" spans="3:5">
      <c r="C77" s="1" t="s">
        <v>512</v>
      </c>
    </row>
    <row r="78" spans="3:5">
      <c r="C78" s="1" t="s">
        <v>513</v>
      </c>
    </row>
    <row r="79" spans="3:5">
      <c r="C79" s="1" t="s">
        <v>514</v>
      </c>
    </row>
    <row r="80" spans="3:5">
      <c r="C80" s="1" t="s">
        <v>515</v>
      </c>
      <c r="D80" s="1" t="s">
        <v>516</v>
      </c>
    </row>
    <row r="81" spans="3:5">
      <c r="C81" s="1" t="s">
        <v>517</v>
      </c>
      <c r="D81" s="1" t="s">
        <v>518</v>
      </c>
    </row>
    <row r="82" spans="3:5">
      <c r="C82" s="1" t="s">
        <v>519</v>
      </c>
      <c r="D82" s="1" t="s">
        <v>520</v>
      </c>
    </row>
    <row r="83" spans="3:5">
      <c r="D83" s="1" t="s">
        <v>86</v>
      </c>
      <c r="E83" s="1" t="s">
        <v>522</v>
      </c>
    </row>
    <row r="84" spans="3:5">
      <c r="C84" s="1" t="s">
        <v>517</v>
      </c>
      <c r="D84" s="1">
        <v>1000</v>
      </c>
      <c r="E84" s="1">
        <v>2000</v>
      </c>
    </row>
    <row r="85" spans="3:5">
      <c r="C85" s="1" t="s">
        <v>521</v>
      </c>
      <c r="D85" s="1">
        <v>800</v>
      </c>
    </row>
    <row r="87" spans="3:5">
      <c r="C87" s="1" t="s">
        <v>523</v>
      </c>
    </row>
    <row r="88" spans="3:5">
      <c r="C88" s="1" t="s">
        <v>524</v>
      </c>
    </row>
    <row r="91" spans="3:5">
      <c r="C91" s="1" t="s">
        <v>525</v>
      </c>
    </row>
    <row r="92" spans="3:5">
      <c r="C92" s="3"/>
      <c r="D92" s="3" t="s">
        <v>527</v>
      </c>
      <c r="E92" s="3" t="s">
        <v>528</v>
      </c>
    </row>
    <row r="93" spans="3:5">
      <c r="C93" s="3" t="s">
        <v>526</v>
      </c>
      <c r="D93" s="3" t="s">
        <v>529</v>
      </c>
      <c r="E93" s="3"/>
    </row>
    <row r="94" spans="3:5">
      <c r="C94" s="3" t="s">
        <v>530</v>
      </c>
      <c r="D94" s="3" t="s">
        <v>529</v>
      </c>
      <c r="E94" s="3"/>
    </row>
    <row r="95" spans="3:5">
      <c r="C95" s="3" t="s">
        <v>531</v>
      </c>
      <c r="D95" s="3"/>
      <c r="E95" s="3" t="s">
        <v>529</v>
      </c>
    </row>
    <row r="96" spans="3:5">
      <c r="C96" s="3" t="s">
        <v>532</v>
      </c>
      <c r="D96" s="3"/>
      <c r="E96" s="3" t="s">
        <v>533</v>
      </c>
    </row>
    <row r="99" spans="3:4">
      <c r="C99" s="1" t="s">
        <v>534</v>
      </c>
    </row>
    <row r="100" spans="3:4">
      <c r="C100" s="1" t="s">
        <v>535</v>
      </c>
    </row>
    <row r="101" spans="3:4">
      <c r="C101" s="1" t="s">
        <v>536</v>
      </c>
      <c r="D101" s="1" t="s">
        <v>459</v>
      </c>
    </row>
    <row r="102" spans="3:4">
      <c r="C102" s="1" t="s">
        <v>537</v>
      </c>
      <c r="D102" s="1" t="s">
        <v>525</v>
      </c>
    </row>
    <row r="103" spans="3:4">
      <c r="C103" s="1" t="s">
        <v>538</v>
      </c>
    </row>
    <row r="105" spans="3:4">
      <c r="C105" s="1" t="s">
        <v>539</v>
      </c>
    </row>
    <row r="108" spans="3:4">
      <c r="C108" s="1" t="s">
        <v>541</v>
      </c>
    </row>
    <row r="109" spans="3:4">
      <c r="C109" s="1" t="s">
        <v>540</v>
      </c>
    </row>
    <row r="110" spans="3:4">
      <c r="C110" s="1" t="s">
        <v>542</v>
      </c>
    </row>
    <row r="111" spans="3:4">
      <c r="C111" s="1" t="s">
        <v>543</v>
      </c>
    </row>
    <row r="113" spans="3:5">
      <c r="C113" s="1" t="s">
        <v>544</v>
      </c>
    </row>
    <row r="115" spans="3:5">
      <c r="C115" s="1" t="s">
        <v>91</v>
      </c>
      <c r="D115" s="1" t="s">
        <v>545</v>
      </c>
    </row>
    <row r="116" spans="3:5">
      <c r="C116" s="1">
        <v>1398</v>
      </c>
      <c r="D116" s="1">
        <v>100</v>
      </c>
    </row>
    <row r="117" spans="3:5">
      <c r="C117" s="1">
        <v>1399</v>
      </c>
      <c r="D117" s="1">
        <v>110</v>
      </c>
    </row>
    <row r="118" spans="3:5">
      <c r="C118" s="1">
        <v>1400</v>
      </c>
      <c r="D118" s="1">
        <v>90</v>
      </c>
    </row>
    <row r="119" spans="3:5">
      <c r="C119" s="1">
        <v>1401</v>
      </c>
      <c r="D119" s="1">
        <v>105</v>
      </c>
    </row>
    <row r="120" spans="3:5">
      <c r="C120" s="1">
        <v>1402</v>
      </c>
      <c r="D120" s="1">
        <v>1000</v>
      </c>
    </row>
    <row r="121" spans="3:5">
      <c r="C121" s="1">
        <v>1403</v>
      </c>
      <c r="D121" s="1">
        <v>110</v>
      </c>
    </row>
    <row r="122" spans="3:5">
      <c r="C122" s="1">
        <v>1404</v>
      </c>
      <c r="D122" s="1">
        <v>105</v>
      </c>
    </row>
    <row r="125" spans="3:5">
      <c r="C125" s="1" t="s">
        <v>546</v>
      </c>
    </row>
    <row r="126" spans="3:5">
      <c r="D126" s="4" t="s">
        <v>550</v>
      </c>
      <c r="E126" s="4" t="s">
        <v>549</v>
      </c>
    </row>
    <row r="127" spans="3:5">
      <c r="C127" s="1" t="s">
        <v>505</v>
      </c>
      <c r="D127" s="1">
        <f>E127*1.25</f>
        <v>12500</v>
      </c>
      <c r="E127" s="1">
        <v>10000</v>
      </c>
    </row>
    <row r="128" spans="3:5">
      <c r="C128" s="1" t="s">
        <v>507</v>
      </c>
      <c r="D128" s="1">
        <f t="shared" ref="D128:D131" si="0">E128*1.25</f>
        <v>1250</v>
      </c>
      <c r="E128" s="1">
        <v>1000</v>
      </c>
    </row>
    <row r="129" spans="3:5">
      <c r="C129" s="1" t="s">
        <v>150</v>
      </c>
      <c r="D129" s="1">
        <f t="shared" si="0"/>
        <v>3125</v>
      </c>
      <c r="E129" s="1">
        <v>2500</v>
      </c>
    </row>
    <row r="131" spans="3:5">
      <c r="C131" s="1" t="s">
        <v>548</v>
      </c>
      <c r="D131" s="1">
        <f t="shared" si="0"/>
        <v>250</v>
      </c>
      <c r="E131" s="1">
        <v>200</v>
      </c>
    </row>
    <row r="132" spans="3:5">
      <c r="D132" s="1">
        <f>SUM(D127:D131)</f>
        <v>17125</v>
      </c>
      <c r="E132" s="1">
        <f>SUM(E127:E131)</f>
        <v>13700</v>
      </c>
    </row>
    <row r="135" spans="3:5">
      <c r="C135" s="1" t="s">
        <v>547</v>
      </c>
      <c r="D135" s="1">
        <v>15000</v>
      </c>
      <c r="E135" s="1">
        <v>1000</v>
      </c>
    </row>
    <row r="138" spans="3:5">
      <c r="C138" s="1" t="s">
        <v>528</v>
      </c>
    </row>
    <row r="139" spans="3:5">
      <c r="C139" s="1" t="s">
        <v>551</v>
      </c>
    </row>
    <row r="141" spans="3:5">
      <c r="C141" s="1" t="s">
        <v>552</v>
      </c>
    </row>
    <row r="142" spans="3:5">
      <c r="C142" s="1" t="s">
        <v>553</v>
      </c>
    </row>
    <row r="143" spans="3:5">
      <c r="C143" s="1" t="s">
        <v>554</v>
      </c>
    </row>
    <row r="144" spans="3:5">
      <c r="C144" s="1" t="s">
        <v>555</v>
      </c>
    </row>
    <row r="145" spans="3:7">
      <c r="C145" s="1" t="s">
        <v>556</v>
      </c>
    </row>
    <row r="147" spans="3:7">
      <c r="C147" s="1" t="s">
        <v>557</v>
      </c>
    </row>
    <row r="148" spans="3:7">
      <c r="C148" s="1" t="s">
        <v>558</v>
      </c>
    </row>
    <row r="150" spans="3:7">
      <c r="C150" s="1" t="s">
        <v>559</v>
      </c>
    </row>
    <row r="152" spans="3:7">
      <c r="C152" s="1" t="s">
        <v>46</v>
      </c>
    </row>
    <row r="153" spans="3:7">
      <c r="C153" s="1" t="s">
        <v>560</v>
      </c>
      <c r="D153" s="15">
        <v>1000000000</v>
      </c>
      <c r="E153" s="1" t="s">
        <v>561</v>
      </c>
    </row>
    <row r="154" spans="3:7">
      <c r="C154" s="1" t="s">
        <v>562</v>
      </c>
      <c r="D154" s="15">
        <f>D153*0.2</f>
        <v>200000000</v>
      </c>
      <c r="E154" s="1" t="s">
        <v>563</v>
      </c>
      <c r="F154" s="1" t="s">
        <v>564</v>
      </c>
      <c r="G154" s="1" t="s">
        <v>565</v>
      </c>
    </row>
    <row r="156" spans="3:7">
      <c r="E156" s="93" t="s">
        <v>275</v>
      </c>
      <c r="F156" s="93"/>
      <c r="G156" s="93"/>
    </row>
    <row r="157" spans="3:7">
      <c r="E157" s="4" t="s">
        <v>46</v>
      </c>
      <c r="F157" s="4" t="s">
        <v>276</v>
      </c>
      <c r="G157" s="4" t="s">
        <v>277</v>
      </c>
    </row>
    <row r="158" spans="3:7">
      <c r="E158" s="4" t="s">
        <v>278</v>
      </c>
      <c r="F158" s="27">
        <f>D153</f>
        <v>1000000000</v>
      </c>
      <c r="G158" s="4"/>
    </row>
    <row r="159" spans="3:7">
      <c r="E159" s="4" t="s">
        <v>566</v>
      </c>
      <c r="F159" s="27">
        <f>D154</f>
        <v>200000000</v>
      </c>
      <c r="G159" s="4"/>
    </row>
    <row r="160" spans="3:7">
      <c r="E160" s="4" t="s">
        <v>567</v>
      </c>
      <c r="F160" s="4"/>
      <c r="G160" s="27">
        <f>F158+F159</f>
        <v>1200000000</v>
      </c>
    </row>
    <row r="162" spans="3:5">
      <c r="C162" s="1" t="s">
        <v>559</v>
      </c>
    </row>
    <row r="163" spans="3:5">
      <c r="C163" s="1" t="s">
        <v>73</v>
      </c>
      <c r="D163" s="16">
        <f>G160</f>
        <v>1200000000</v>
      </c>
    </row>
    <row r="164" spans="3:5">
      <c r="C164" s="1" t="s">
        <v>282</v>
      </c>
    </row>
    <row r="165" spans="3:5">
      <c r="C165" s="1" t="s">
        <v>568</v>
      </c>
      <c r="D165" s="16">
        <f>-F159</f>
        <v>-200000000</v>
      </c>
    </row>
    <row r="166" spans="3:5">
      <c r="C166" s="1" t="s">
        <v>569</v>
      </c>
      <c r="D166" s="16">
        <f>SUM(D163:D165)</f>
        <v>1000000000</v>
      </c>
      <c r="E166" s="1" t="s">
        <v>559</v>
      </c>
    </row>
    <row r="169" spans="3:5">
      <c r="C169" s="1" t="s">
        <v>570</v>
      </c>
    </row>
    <row r="170" spans="3:5">
      <c r="C170" s="2" t="s">
        <v>571</v>
      </c>
      <c r="D170" s="2" t="s">
        <v>574</v>
      </c>
    </row>
    <row r="171" spans="3:5">
      <c r="C171" s="2" t="s">
        <v>572</v>
      </c>
      <c r="D171" s="2" t="s">
        <v>575</v>
      </c>
    </row>
    <row r="172" spans="3:5">
      <c r="C172" s="2" t="s">
        <v>573</v>
      </c>
      <c r="D172" s="2" t="s">
        <v>576</v>
      </c>
    </row>
    <row r="174" spans="3:5">
      <c r="C174" s="2" t="s">
        <v>577</v>
      </c>
      <c r="D174" s="2" t="s">
        <v>581</v>
      </c>
    </row>
    <row r="175" spans="3:5">
      <c r="C175" s="2" t="s">
        <v>578</v>
      </c>
      <c r="D175" s="2" t="s">
        <v>582</v>
      </c>
    </row>
    <row r="176" spans="3:5">
      <c r="C176" s="2" t="s">
        <v>579</v>
      </c>
      <c r="D176" s="2" t="s">
        <v>583</v>
      </c>
    </row>
    <row r="177" spans="3:5">
      <c r="C177" s="2" t="s">
        <v>580</v>
      </c>
      <c r="D177" s="2" t="s">
        <v>584</v>
      </c>
    </row>
    <row r="180" spans="3:5">
      <c r="C180" s="1" t="s">
        <v>585</v>
      </c>
      <c r="D180" s="1" t="s">
        <v>586</v>
      </c>
    </row>
    <row r="181" spans="3:5">
      <c r="D181" s="1" t="s">
        <v>587</v>
      </c>
    </row>
    <row r="182" spans="3:5">
      <c r="C182" s="1" t="s">
        <v>560</v>
      </c>
      <c r="D182" s="1">
        <v>1000000000</v>
      </c>
    </row>
    <row r="183" spans="3:5">
      <c r="C183" s="1" t="s">
        <v>588</v>
      </c>
      <c r="D183" s="28">
        <v>0.23</v>
      </c>
    </row>
    <row r="184" spans="3:5">
      <c r="C184" s="1" t="s">
        <v>589</v>
      </c>
      <c r="D184" s="1">
        <f>D182*D183</f>
        <v>230000000</v>
      </c>
    </row>
    <row r="185" spans="3:5">
      <c r="C185" s="1" t="s">
        <v>590</v>
      </c>
      <c r="D185" s="28">
        <v>0.25</v>
      </c>
    </row>
    <row r="186" spans="3:5">
      <c r="C186" s="1" t="s">
        <v>591</v>
      </c>
      <c r="D186" s="1">
        <f>D182*D185</f>
        <v>250000000</v>
      </c>
    </row>
    <row r="187" spans="3:5">
      <c r="C187" s="1" t="s">
        <v>592</v>
      </c>
      <c r="D187" s="1">
        <f>D182-D186</f>
        <v>750000000</v>
      </c>
    </row>
    <row r="188" spans="3:5">
      <c r="C188" s="1" t="s">
        <v>593</v>
      </c>
      <c r="D188" s="39">
        <f>D184/D187</f>
        <v>0.30666666666666664</v>
      </c>
    </row>
    <row r="190" spans="3:5">
      <c r="C190" s="1" t="s">
        <v>594</v>
      </c>
    </row>
    <row r="191" spans="3:5">
      <c r="C191" s="1" t="s">
        <v>595</v>
      </c>
      <c r="D191" s="1" t="s">
        <v>596</v>
      </c>
    </row>
    <row r="192" spans="3:5">
      <c r="C192" s="1" t="s">
        <v>597</v>
      </c>
      <c r="D192" s="1" t="s">
        <v>598</v>
      </c>
      <c r="E192" s="1" t="s">
        <v>599</v>
      </c>
    </row>
    <row r="195" spans="3:3">
      <c r="C195" s="1" t="s">
        <v>312</v>
      </c>
    </row>
    <row r="196" spans="3:3">
      <c r="C196" s="1" t="s">
        <v>600</v>
      </c>
    </row>
    <row r="197" spans="3:3">
      <c r="C197" s="1" t="s">
        <v>601</v>
      </c>
    </row>
    <row r="198" spans="3:3">
      <c r="C198" s="1" t="s">
        <v>604</v>
      </c>
    </row>
  </sheetData>
  <mergeCells count="7">
    <mergeCell ref="E156:G156"/>
    <mergeCell ref="B30:B31"/>
    <mergeCell ref="D31:D32"/>
    <mergeCell ref="C49:E49"/>
    <mergeCell ref="F49:H49"/>
    <mergeCell ref="F52:H55"/>
    <mergeCell ref="C52:E55"/>
  </mergeCells>
  <pageMargins left="0.7" right="0.7" top="0.75" bottom="0.75" header="0.3" footer="0.3"/>
  <pageSetup scale="63" orientation="portrait" r:id="rId1"/>
  <headerFooter>
    <oddFooter>&amp;C&amp;"B Zar,Bold"&amp;14&amp;P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CAC71-5242-4E5F-A2EC-F9044A3B94EF}">
  <dimension ref="A1:H147"/>
  <sheetViews>
    <sheetView rightToLeft="1" view="pageBreakPreview" zoomScale="60" zoomScaleNormal="180" workbookViewId="0">
      <pane ySplit="1" topLeftCell="A100" activePane="bottomLeft" state="frozen"/>
      <selection activeCell="E1" sqref="E1"/>
      <selection pane="bottomLeft" activeCell="E1" sqref="E1"/>
    </sheetView>
  </sheetViews>
  <sheetFormatPr defaultRowHeight="19.5"/>
  <cols>
    <col min="1" max="1" width="9" style="1"/>
    <col min="2" max="2" width="22.125" style="1" customWidth="1"/>
    <col min="3" max="3" width="20.625" style="1" customWidth="1"/>
    <col min="4" max="4" width="17.125" style="1" customWidth="1"/>
    <col min="5" max="5" width="18.5" style="1" customWidth="1"/>
    <col min="6" max="6" width="11" style="1" customWidth="1"/>
    <col min="7" max="7" width="8.875" style="1" customWidth="1"/>
    <col min="8" max="16384" width="9" style="1"/>
  </cols>
  <sheetData>
    <row r="1" spans="1:6" ht="24" customHeight="1">
      <c r="A1" s="2" t="e" vm="1">
        <v>#VALUE!</v>
      </c>
      <c r="B1" s="1" t="s">
        <v>2</v>
      </c>
      <c r="D1" s="1" t="s">
        <v>603</v>
      </c>
      <c r="E1" s="1" t="s">
        <v>0</v>
      </c>
    </row>
    <row r="3" spans="1:6">
      <c r="F3" s="2" t="s">
        <v>609</v>
      </c>
    </row>
    <row r="4" spans="1:6">
      <c r="C4" s="2" t="s">
        <v>91</v>
      </c>
      <c r="D4" s="2" t="s">
        <v>605</v>
      </c>
      <c r="E4" s="2" t="s">
        <v>606</v>
      </c>
      <c r="F4" s="2" t="s">
        <v>607</v>
      </c>
    </row>
    <row r="5" spans="1:6">
      <c r="C5" s="2" t="s">
        <v>93</v>
      </c>
      <c r="D5" s="40" t="s">
        <v>96</v>
      </c>
      <c r="E5" s="40" t="s">
        <v>99</v>
      </c>
      <c r="F5" s="2" t="s">
        <v>608</v>
      </c>
    </row>
    <row r="8" spans="1:6">
      <c r="C8" s="2" t="s">
        <v>94</v>
      </c>
      <c r="D8" s="1" t="s">
        <v>610</v>
      </c>
    </row>
    <row r="9" spans="1:6">
      <c r="D9" s="1" t="s">
        <v>611</v>
      </c>
    </row>
    <row r="10" spans="1:6">
      <c r="D10" s="1" t="s">
        <v>612</v>
      </c>
      <c r="E10" s="1" t="s">
        <v>613</v>
      </c>
    </row>
    <row r="11" spans="1:6">
      <c r="E11" s="1" t="s">
        <v>614</v>
      </c>
    </row>
    <row r="12" spans="1:6">
      <c r="D12" s="1" t="s">
        <v>620</v>
      </c>
      <c r="E12" s="1" t="s">
        <v>621</v>
      </c>
    </row>
    <row r="13" spans="1:6">
      <c r="C13" s="1" t="s">
        <v>86</v>
      </c>
      <c r="D13" s="1">
        <v>1000</v>
      </c>
      <c r="E13" s="1">
        <f>D13</f>
        <v>1000</v>
      </c>
    </row>
    <row r="14" spans="1:6" ht="20.25" thickBot="1">
      <c r="C14" s="1" t="s">
        <v>214</v>
      </c>
      <c r="D14" s="1">
        <v>-600</v>
      </c>
      <c r="E14" s="1">
        <f>D14*0.75</f>
        <v>-450</v>
      </c>
    </row>
    <row r="15" spans="1:6" ht="21" thickBot="1">
      <c r="C15" s="1" t="s">
        <v>215</v>
      </c>
      <c r="D15" s="41">
        <f>SUM(D13:D14)</f>
        <v>400</v>
      </c>
      <c r="E15" s="41">
        <f>SUM(E13:E14)</f>
        <v>550</v>
      </c>
    </row>
    <row r="16" spans="1:6" ht="20.25" thickBot="1">
      <c r="C16" s="1" t="s">
        <v>525</v>
      </c>
      <c r="D16" s="1">
        <v>-150</v>
      </c>
      <c r="E16" s="1">
        <f>D16*0.7</f>
        <v>-105</v>
      </c>
    </row>
    <row r="17" spans="2:6" ht="21" thickBot="1">
      <c r="C17" s="1" t="s">
        <v>217</v>
      </c>
      <c r="D17" s="41">
        <f>D15+D16</f>
        <v>250</v>
      </c>
      <c r="E17" s="41">
        <f>E15+E16</f>
        <v>445</v>
      </c>
    </row>
    <row r="18" spans="2:6">
      <c r="C18" s="1" t="s">
        <v>528</v>
      </c>
      <c r="D18" s="1">
        <v>-100</v>
      </c>
      <c r="E18" s="1">
        <f>D18</f>
        <v>-100</v>
      </c>
    </row>
    <row r="19" spans="2:6" ht="20.25" thickBot="1">
      <c r="C19" s="1" t="s">
        <v>615</v>
      </c>
      <c r="D19" s="1">
        <v>-50</v>
      </c>
      <c r="E19" s="1">
        <f>D19/2</f>
        <v>-25</v>
      </c>
    </row>
    <row r="20" spans="2:6" ht="21" thickBot="1">
      <c r="B20" s="1" t="s">
        <v>618</v>
      </c>
      <c r="C20" s="1" t="s">
        <v>616</v>
      </c>
      <c r="D20" s="41">
        <f>SUM(D17:D19)</f>
        <v>100</v>
      </c>
      <c r="E20" s="41">
        <f>SUM(E17:E19)</f>
        <v>320</v>
      </c>
      <c r="F20" s="1" t="s">
        <v>629</v>
      </c>
    </row>
    <row r="21" spans="2:6">
      <c r="B21" s="1" t="s">
        <v>619</v>
      </c>
      <c r="C21" s="1" t="s">
        <v>30</v>
      </c>
      <c r="D21" s="1">
        <f>D20*-25%</f>
        <v>-25</v>
      </c>
      <c r="E21" s="1">
        <f>E20*-25%</f>
        <v>-80</v>
      </c>
      <c r="F21" s="1" t="s">
        <v>630</v>
      </c>
    </row>
    <row r="22" spans="2:6" ht="20.25" thickBot="1">
      <c r="C22" s="1" t="s">
        <v>617</v>
      </c>
      <c r="D22" s="42">
        <f>D20+D21</f>
        <v>75</v>
      </c>
      <c r="E22" s="42"/>
    </row>
    <row r="23" spans="2:6" ht="20.25" thickTop="1"/>
    <row r="24" spans="2:6">
      <c r="C24" s="1" t="s">
        <v>622</v>
      </c>
      <c r="F24" s="2" t="s">
        <v>623</v>
      </c>
    </row>
    <row r="25" spans="2:6">
      <c r="C25" s="1" t="s">
        <v>624</v>
      </c>
    </row>
    <row r="26" spans="2:6">
      <c r="C26" s="1" t="s">
        <v>625</v>
      </c>
    </row>
    <row r="28" spans="2:6">
      <c r="C28" s="1" t="s">
        <v>626</v>
      </c>
    </row>
    <row r="29" spans="2:6">
      <c r="C29" s="1" t="s">
        <v>627</v>
      </c>
    </row>
    <row r="30" spans="2:6">
      <c r="C30" s="1" t="s">
        <v>628</v>
      </c>
    </row>
    <row r="32" spans="2:6">
      <c r="C32" s="1" t="s">
        <v>312</v>
      </c>
    </row>
    <row r="33" spans="2:5">
      <c r="C33" s="1" t="s">
        <v>631</v>
      </c>
    </row>
    <row r="34" spans="2:5">
      <c r="C34" s="1" t="s">
        <v>632</v>
      </c>
      <c r="D34" s="1" t="s">
        <v>633</v>
      </c>
      <c r="E34" s="1" t="s">
        <v>634</v>
      </c>
    </row>
    <row r="35" spans="2:5">
      <c r="E35" s="1" t="s">
        <v>635</v>
      </c>
    </row>
    <row r="36" spans="2:5">
      <c r="D36" s="1" t="s">
        <v>636</v>
      </c>
    </row>
    <row r="37" spans="2:5">
      <c r="D37" s="1" t="s">
        <v>637</v>
      </c>
      <c r="E37" s="1" t="s">
        <v>638</v>
      </c>
    </row>
    <row r="38" spans="2:5">
      <c r="E38" s="1" t="s">
        <v>639</v>
      </c>
    </row>
    <row r="40" spans="2:5">
      <c r="B40" s="1" t="s">
        <v>640</v>
      </c>
    </row>
    <row r="42" spans="2:5">
      <c r="B42" s="1" t="s">
        <v>641</v>
      </c>
    </row>
    <row r="44" spans="2:5">
      <c r="B44" s="1" t="s">
        <v>642</v>
      </c>
      <c r="C44" s="1" t="s">
        <v>643</v>
      </c>
    </row>
    <row r="47" spans="2:5">
      <c r="B47" s="1" t="s">
        <v>640</v>
      </c>
    </row>
    <row r="48" spans="2:5">
      <c r="B48" s="1" t="s">
        <v>642</v>
      </c>
    </row>
    <row r="49" spans="2:7">
      <c r="B49" s="1" t="s">
        <v>644</v>
      </c>
    </row>
    <row r="50" spans="2:7">
      <c r="B50" s="1" t="s">
        <v>645</v>
      </c>
      <c r="C50" s="1" t="s">
        <v>646</v>
      </c>
    </row>
    <row r="51" spans="2:7">
      <c r="B51" s="1" t="s">
        <v>647</v>
      </c>
      <c r="C51" s="1" t="s">
        <v>648</v>
      </c>
    </row>
    <row r="53" spans="2:7">
      <c r="B53" s="1" t="s">
        <v>649</v>
      </c>
    </row>
    <row r="54" spans="2:7">
      <c r="B54" s="1" t="s">
        <v>650</v>
      </c>
      <c r="C54" s="1" t="s">
        <v>651</v>
      </c>
    </row>
    <row r="56" spans="2:7">
      <c r="B56" s="1" t="s">
        <v>652</v>
      </c>
    </row>
    <row r="57" spans="2:7">
      <c r="E57" s="1" t="s">
        <v>661</v>
      </c>
    </row>
    <row r="58" spans="2:7">
      <c r="B58" s="1" t="s">
        <v>653</v>
      </c>
      <c r="D58" s="1" t="s">
        <v>659</v>
      </c>
    </row>
    <row r="59" spans="2:7">
      <c r="B59" s="1" t="s">
        <v>654</v>
      </c>
      <c r="C59" s="1">
        <v>1000</v>
      </c>
      <c r="E59" s="1" t="s">
        <v>642</v>
      </c>
      <c r="F59" s="1">
        <f>C59</f>
        <v>1000</v>
      </c>
    </row>
    <row r="60" spans="2:7">
      <c r="B60" s="1" t="s">
        <v>655</v>
      </c>
      <c r="C60" s="1">
        <v>100</v>
      </c>
      <c r="D60" s="1" t="s">
        <v>660</v>
      </c>
      <c r="E60" s="1" t="s">
        <v>644</v>
      </c>
    </row>
    <row r="61" spans="2:7">
      <c r="B61" s="1" t="s">
        <v>256</v>
      </c>
      <c r="C61" s="1">
        <v>50</v>
      </c>
      <c r="D61" s="1" t="s">
        <v>660</v>
      </c>
      <c r="E61" s="1" t="s">
        <v>655</v>
      </c>
      <c r="F61" s="1">
        <v>100</v>
      </c>
      <c r="G61" s="1" t="s">
        <v>660</v>
      </c>
    </row>
    <row r="62" spans="2:7">
      <c r="B62" s="1" t="s">
        <v>656</v>
      </c>
      <c r="C62" s="1">
        <v>200</v>
      </c>
      <c r="D62" s="1" t="s">
        <v>660</v>
      </c>
      <c r="E62" s="1" t="s">
        <v>256</v>
      </c>
      <c r="F62" s="1">
        <v>50</v>
      </c>
      <c r="G62" s="1" t="s">
        <v>660</v>
      </c>
    </row>
    <row r="63" spans="2:7">
      <c r="B63" s="1" t="s">
        <v>657</v>
      </c>
      <c r="C63" s="1">
        <v>150</v>
      </c>
      <c r="E63" s="1" t="s">
        <v>656</v>
      </c>
      <c r="F63" s="1">
        <v>200</v>
      </c>
      <c r="G63" s="1" t="s">
        <v>660</v>
      </c>
    </row>
    <row r="64" spans="2:7">
      <c r="B64" s="1" t="s">
        <v>658</v>
      </c>
      <c r="C64" s="1">
        <v>60</v>
      </c>
      <c r="E64" s="1" t="s">
        <v>662</v>
      </c>
      <c r="F64" s="1">
        <f>SUM(F61:F63)</f>
        <v>350</v>
      </c>
    </row>
    <row r="65" spans="2:6">
      <c r="E65" s="1" t="s">
        <v>652</v>
      </c>
      <c r="F65" s="1">
        <f>F59-F64</f>
        <v>650</v>
      </c>
    </row>
    <row r="67" spans="2:6">
      <c r="B67" s="1" t="s">
        <v>663</v>
      </c>
      <c r="C67" s="1" t="s">
        <v>664</v>
      </c>
      <c r="D67" s="1" t="s">
        <v>619</v>
      </c>
    </row>
    <row r="68" spans="2:6">
      <c r="B68" s="1">
        <f>F59</f>
        <v>1000</v>
      </c>
      <c r="C68" s="1">
        <f>F65</f>
        <v>650</v>
      </c>
      <c r="D68" s="1">
        <f>C68*25%</f>
        <v>162.5</v>
      </c>
    </row>
    <row r="71" spans="2:6" ht="20.25" thickBot="1">
      <c r="B71" s="1" t="s">
        <v>665</v>
      </c>
      <c r="C71" s="1">
        <v>1000</v>
      </c>
    </row>
    <row r="72" spans="2:6">
      <c r="B72" s="1" t="s">
        <v>666</v>
      </c>
      <c r="C72" s="43">
        <v>2000</v>
      </c>
    </row>
    <row r="73" spans="2:6">
      <c r="B73" s="1" t="s">
        <v>667</v>
      </c>
      <c r="C73" s="44">
        <v>-80</v>
      </c>
    </row>
    <row r="74" spans="2:6" ht="20.25" thickBot="1">
      <c r="B74" s="1" t="s">
        <v>668</v>
      </c>
      <c r="C74" s="45">
        <f>C72+C73</f>
        <v>1920</v>
      </c>
    </row>
    <row r="75" spans="2:6">
      <c r="B75" s="1" t="s">
        <v>669</v>
      </c>
      <c r="C75" s="1">
        <f>C71+C74</f>
        <v>2920</v>
      </c>
    </row>
    <row r="76" spans="2:6">
      <c r="B76" s="1" t="s">
        <v>670</v>
      </c>
    </row>
    <row r="77" spans="2:6">
      <c r="B77" s="1" t="s">
        <v>671</v>
      </c>
      <c r="C77" s="1">
        <f>C75*-0.1</f>
        <v>-292</v>
      </c>
    </row>
    <row r="78" spans="2:6">
      <c r="B78" s="1" t="s">
        <v>672</v>
      </c>
    </row>
    <row r="79" spans="2:6">
      <c r="B79" s="1" t="s">
        <v>673</v>
      </c>
      <c r="C79" s="1">
        <f>C75+C76+C77+C78</f>
        <v>2628</v>
      </c>
      <c r="D79" s="1" t="s">
        <v>674</v>
      </c>
    </row>
    <row r="82" spans="2:8">
      <c r="B82" s="1" t="s">
        <v>675</v>
      </c>
      <c r="C82" s="1" t="s">
        <v>676</v>
      </c>
    </row>
    <row r="83" spans="2:8">
      <c r="C83" s="1" t="s">
        <v>677</v>
      </c>
    </row>
    <row r="85" spans="2:8">
      <c r="C85" s="1" t="s">
        <v>620</v>
      </c>
    </row>
    <row r="86" spans="2:8">
      <c r="B86" s="1" t="s">
        <v>86</v>
      </c>
      <c r="C86" s="1">
        <v>1000</v>
      </c>
    </row>
    <row r="87" spans="2:8" ht="20.25" thickBot="1">
      <c r="B87" s="1" t="s">
        <v>214</v>
      </c>
      <c r="C87" s="1">
        <v>-600</v>
      </c>
    </row>
    <row r="88" spans="2:8" ht="21" thickBot="1">
      <c r="B88" s="1" t="s">
        <v>215</v>
      </c>
      <c r="C88" s="41">
        <f>SUM(C86:C87)</f>
        <v>400</v>
      </c>
      <c r="E88" s="3" t="s">
        <v>46</v>
      </c>
      <c r="F88" s="3" t="s">
        <v>685</v>
      </c>
      <c r="G88" s="3" t="s">
        <v>686</v>
      </c>
      <c r="H88" s="3" t="s">
        <v>687</v>
      </c>
    </row>
    <row r="89" spans="2:8" ht="20.25" thickBot="1">
      <c r="B89" s="1" t="s">
        <v>525</v>
      </c>
      <c r="C89" s="1">
        <v>-150</v>
      </c>
      <c r="E89" s="3" t="s">
        <v>50</v>
      </c>
      <c r="F89" s="3">
        <f>C90</f>
        <v>250</v>
      </c>
      <c r="G89" s="3">
        <f>F89*-0.25</f>
        <v>-62.5</v>
      </c>
      <c r="H89" s="3">
        <f>F89+G89</f>
        <v>187.5</v>
      </c>
    </row>
    <row r="90" spans="2:8" ht="21" thickBot="1">
      <c r="B90" s="1" t="s">
        <v>217</v>
      </c>
      <c r="C90" s="41">
        <f>C88+C89</f>
        <v>250</v>
      </c>
      <c r="E90" s="3" t="s">
        <v>51</v>
      </c>
      <c r="F90" s="3">
        <f>C91+C92</f>
        <v>-150</v>
      </c>
      <c r="G90" s="3">
        <f>F90*-0.25</f>
        <v>37.5</v>
      </c>
      <c r="H90" s="3">
        <f>F90+G90</f>
        <v>-112.5</v>
      </c>
    </row>
    <row r="91" spans="2:8">
      <c r="B91" s="1" t="s">
        <v>528</v>
      </c>
      <c r="C91" s="1">
        <v>-100</v>
      </c>
      <c r="E91" s="3" t="s">
        <v>684</v>
      </c>
      <c r="F91" s="3">
        <f>SUM(F89:F90)</f>
        <v>100</v>
      </c>
      <c r="G91" s="3">
        <f>SUM(G89:G90)</f>
        <v>-25</v>
      </c>
      <c r="H91" s="3">
        <f>SUM(H89:H90)</f>
        <v>75</v>
      </c>
    </row>
    <row r="92" spans="2:8" ht="20.25" thickBot="1">
      <c r="B92" s="1" t="s">
        <v>615</v>
      </c>
      <c r="C92" s="1">
        <v>-50</v>
      </c>
    </row>
    <row r="93" spans="2:8" ht="21" thickBot="1">
      <c r="B93" s="1" t="s">
        <v>616</v>
      </c>
      <c r="C93" s="41">
        <f>SUM(C90:C92)</f>
        <v>100</v>
      </c>
    </row>
    <row r="94" spans="2:8">
      <c r="B94" s="1" t="s">
        <v>30</v>
      </c>
      <c r="C94" s="1">
        <f>C93*-25%</f>
        <v>-25</v>
      </c>
    </row>
    <row r="95" spans="2:8" ht="20.25" thickBot="1">
      <c r="B95" s="1" t="s">
        <v>617</v>
      </c>
      <c r="C95" s="42">
        <f>C93+C94</f>
        <v>75</v>
      </c>
    </row>
    <row r="96" spans="2:8" ht="20.25" thickTop="1"/>
    <row r="97" spans="2:5">
      <c r="D97" s="1" t="s">
        <v>680</v>
      </c>
      <c r="E97" s="1" t="s">
        <v>682</v>
      </c>
    </row>
    <row r="98" spans="2:5">
      <c r="B98" s="1" t="s">
        <v>678</v>
      </c>
      <c r="D98" s="1" t="s">
        <v>681</v>
      </c>
    </row>
    <row r="99" spans="2:5">
      <c r="B99" s="1" t="s">
        <v>679</v>
      </c>
    </row>
    <row r="100" spans="2:5">
      <c r="B100" s="1" t="s">
        <v>683</v>
      </c>
    </row>
    <row r="102" spans="2:5">
      <c r="B102" s="1" t="s">
        <v>688</v>
      </c>
    </row>
    <row r="103" spans="2:5">
      <c r="B103" s="1" t="s">
        <v>689</v>
      </c>
    </row>
    <row r="105" spans="2:5">
      <c r="B105" s="1" t="s">
        <v>690</v>
      </c>
    </row>
    <row r="106" spans="2:5">
      <c r="B106" s="1" t="s">
        <v>691</v>
      </c>
    </row>
    <row r="107" spans="2:5">
      <c r="B107" s="1" t="s">
        <v>692</v>
      </c>
    </row>
    <row r="108" spans="2:5">
      <c r="D108" s="1" t="s">
        <v>693</v>
      </c>
      <c r="E108" s="1">
        <v>1000</v>
      </c>
    </row>
    <row r="110" spans="2:5">
      <c r="B110" s="21" t="s">
        <v>46</v>
      </c>
      <c r="C110" s="21" t="s">
        <v>695</v>
      </c>
      <c r="D110" s="21" t="s">
        <v>698</v>
      </c>
      <c r="E110" s="21" t="s">
        <v>699</v>
      </c>
    </row>
    <row r="111" spans="2:5">
      <c r="B111" s="4" t="s">
        <v>694</v>
      </c>
      <c r="C111" s="3">
        <v>100</v>
      </c>
      <c r="D111" s="3">
        <v>12</v>
      </c>
      <c r="E111" s="3">
        <f>C111*D111/12</f>
        <v>100</v>
      </c>
    </row>
    <row r="112" spans="2:5">
      <c r="B112" s="4" t="s">
        <v>697</v>
      </c>
      <c r="C112" s="3">
        <v>100</v>
      </c>
      <c r="D112" s="3">
        <v>6</v>
      </c>
      <c r="E112" s="3">
        <f>C112*D112/12</f>
        <v>50</v>
      </c>
    </row>
    <row r="113" spans="2:5">
      <c r="B113" s="4" t="s">
        <v>696</v>
      </c>
      <c r="C113" s="3">
        <f>SUM(C111:C112)</f>
        <v>200</v>
      </c>
      <c r="D113" s="3"/>
      <c r="E113" s="3">
        <f>SUM(E111:E112)</f>
        <v>150</v>
      </c>
    </row>
    <row r="114" spans="2:5">
      <c r="B114" s="4" t="s">
        <v>675</v>
      </c>
      <c r="C114" s="3">
        <f>E108/C113</f>
        <v>5</v>
      </c>
      <c r="D114" s="3"/>
      <c r="E114" s="3">
        <f>E108/E113</f>
        <v>6.666666666666667</v>
      </c>
    </row>
    <row r="116" spans="2:5">
      <c r="B116" s="24" t="s">
        <v>700</v>
      </c>
    </row>
    <row r="117" spans="2:5">
      <c r="B117" s="1" t="s">
        <v>701</v>
      </c>
      <c r="C117" s="1" t="s">
        <v>703</v>
      </c>
    </row>
    <row r="118" spans="2:5">
      <c r="B118" s="1" t="s">
        <v>702</v>
      </c>
      <c r="C118" s="1" t="s">
        <v>704</v>
      </c>
    </row>
    <row r="120" spans="2:5">
      <c r="B120" s="1" t="s">
        <v>705</v>
      </c>
    </row>
    <row r="121" spans="2:5">
      <c r="B121" s="2" t="s">
        <v>46</v>
      </c>
      <c r="C121" s="2" t="s">
        <v>709</v>
      </c>
      <c r="D121" s="2" t="s">
        <v>710</v>
      </c>
      <c r="E121" s="1" t="s">
        <v>711</v>
      </c>
    </row>
    <row r="122" spans="2:5">
      <c r="B122" s="2" t="s">
        <v>706</v>
      </c>
      <c r="C122" s="2">
        <v>1000</v>
      </c>
      <c r="D122" s="2">
        <v>2000</v>
      </c>
    </row>
    <row r="123" spans="2:5">
      <c r="B123" s="2" t="s">
        <v>670</v>
      </c>
      <c r="C123" s="2">
        <v>100</v>
      </c>
      <c r="D123" s="2">
        <f>C123</f>
        <v>100</v>
      </c>
    </row>
    <row r="124" spans="2:5">
      <c r="B124" s="2" t="s">
        <v>707</v>
      </c>
      <c r="C124" s="2">
        <v>2000</v>
      </c>
      <c r="D124" s="2">
        <f>C124</f>
        <v>2000</v>
      </c>
    </row>
    <row r="125" spans="2:5" ht="20.25" thickBot="1">
      <c r="B125" s="2" t="s">
        <v>708</v>
      </c>
      <c r="C125" s="46">
        <f>SUM(C122:C124)</f>
        <v>3100</v>
      </c>
      <c r="D125" s="46">
        <f>SUM(D122:D124)</f>
        <v>4100</v>
      </c>
    </row>
    <row r="126" spans="2:5" ht="20.25" thickTop="1"/>
    <row r="127" spans="2:5">
      <c r="B127" s="1" t="s">
        <v>712</v>
      </c>
    </row>
    <row r="129" spans="2:4">
      <c r="B129" s="2" t="s">
        <v>46</v>
      </c>
      <c r="C129" s="2" t="s">
        <v>709</v>
      </c>
      <c r="D129" s="2" t="s">
        <v>710</v>
      </c>
    </row>
    <row r="130" spans="2:4">
      <c r="B130" s="2" t="s">
        <v>706</v>
      </c>
      <c r="C130" s="2">
        <v>1000</v>
      </c>
      <c r="D130" s="2">
        <v>2000</v>
      </c>
    </row>
    <row r="131" spans="2:4">
      <c r="B131" s="2" t="s">
        <v>670</v>
      </c>
      <c r="C131" s="2">
        <v>100</v>
      </c>
      <c r="D131" s="2">
        <f>C131</f>
        <v>100</v>
      </c>
    </row>
    <row r="132" spans="2:4">
      <c r="B132" s="2" t="s">
        <v>707</v>
      </c>
      <c r="C132" s="2">
        <v>2000</v>
      </c>
      <c r="D132" s="2">
        <v>1000</v>
      </c>
    </row>
    <row r="133" spans="2:4" ht="20.25" thickBot="1">
      <c r="B133" s="2" t="s">
        <v>708</v>
      </c>
      <c r="C133" s="46">
        <f>SUM(C130:C132)</f>
        <v>3100</v>
      </c>
      <c r="D133" s="46">
        <f>SUM(D130:D132)</f>
        <v>3100</v>
      </c>
    </row>
    <row r="134" spans="2:4" ht="20.25" thickTop="1"/>
    <row r="135" spans="2:4">
      <c r="B135" s="1" t="s">
        <v>713</v>
      </c>
    </row>
    <row r="136" spans="2:4">
      <c r="B136" s="1" t="s">
        <v>714</v>
      </c>
    </row>
    <row r="138" spans="2:4">
      <c r="B138" s="1" t="s">
        <v>715</v>
      </c>
    </row>
    <row r="139" spans="2:4">
      <c r="B139" s="1" t="s">
        <v>721</v>
      </c>
    </row>
    <row r="140" spans="2:4">
      <c r="B140" s="1" t="s">
        <v>716</v>
      </c>
    </row>
    <row r="141" spans="2:4">
      <c r="B141" s="1" t="s">
        <v>717</v>
      </c>
    </row>
    <row r="142" spans="2:4">
      <c r="B142" s="1" t="s">
        <v>718</v>
      </c>
    </row>
    <row r="143" spans="2:4">
      <c r="B143" s="1" t="s">
        <v>719</v>
      </c>
    </row>
    <row r="144" spans="2:4">
      <c r="B144" s="1" t="s">
        <v>720</v>
      </c>
    </row>
    <row r="146" spans="2:2">
      <c r="B146" s="1" t="s">
        <v>722</v>
      </c>
    </row>
    <row r="147" spans="2:2">
      <c r="B147" s="1" t="s">
        <v>723</v>
      </c>
    </row>
  </sheetData>
  <pageMargins left="0.7" right="0.7" top="0.75" bottom="0.75" header="0.3" footer="0.3"/>
  <pageSetup scale="71" orientation="portrait" r:id="rId1"/>
  <headerFooter>
    <oddFooter>&amp;C&amp;"B Zar,Bold"&amp;14&amp;P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A4170-C8DB-446E-99E6-0E4007C33961}">
  <dimension ref="A1:I152"/>
  <sheetViews>
    <sheetView rightToLeft="1" zoomScale="180" zoomScaleNormal="180" workbookViewId="0">
      <pane ySplit="1" topLeftCell="A94" activePane="bottomLeft" state="frozen"/>
      <selection activeCell="E1" sqref="E1"/>
      <selection pane="bottomLeft" activeCell="E1" sqref="E1"/>
    </sheetView>
  </sheetViews>
  <sheetFormatPr defaultRowHeight="19.5"/>
  <cols>
    <col min="1" max="1" width="9" style="1"/>
    <col min="2" max="2" width="12.25" style="1" customWidth="1"/>
    <col min="3" max="3" width="20.625" style="1" customWidth="1"/>
    <col min="4" max="4" width="18.125" style="1" customWidth="1"/>
    <col min="5" max="5" width="12.875" style="1" customWidth="1"/>
    <col min="6" max="6" width="16.875" style="1" customWidth="1"/>
    <col min="7" max="7" width="14.375" style="1" customWidth="1"/>
    <col min="8" max="8" width="11.5" style="1" bestFit="1" customWidth="1"/>
    <col min="9" max="9" width="10.875" style="1" bestFit="1" customWidth="1"/>
    <col min="10" max="16384" width="9" style="1"/>
  </cols>
  <sheetData>
    <row r="1" spans="1:9" ht="24" customHeight="1">
      <c r="A1" s="2" t="e" vm="1">
        <v>#VALUE!</v>
      </c>
      <c r="B1" s="1" t="s">
        <v>2</v>
      </c>
      <c r="D1" s="1" t="s">
        <v>724</v>
      </c>
      <c r="E1" s="1" t="s">
        <v>0</v>
      </c>
    </row>
    <row r="4" spans="1:9">
      <c r="B4" s="1" t="s">
        <v>725</v>
      </c>
    </row>
    <row r="5" spans="1:9">
      <c r="B5" s="1" t="s">
        <v>726</v>
      </c>
    </row>
    <row r="7" spans="1:9">
      <c r="B7" s="1" t="s">
        <v>727</v>
      </c>
    </row>
    <row r="8" spans="1:9" ht="20.25" thickBot="1"/>
    <row r="9" spans="1:9" ht="20.25" thickBot="1">
      <c r="B9" s="1" t="s">
        <v>13</v>
      </c>
      <c r="E9" s="105" t="s">
        <v>6</v>
      </c>
      <c r="F9" s="106"/>
      <c r="G9" s="106"/>
      <c r="H9" s="107"/>
    </row>
    <row r="10" spans="1:9">
      <c r="D10" s="108" t="s">
        <v>735</v>
      </c>
      <c r="E10" s="1" t="s">
        <v>87</v>
      </c>
      <c r="F10" s="47"/>
      <c r="G10" s="1" t="s">
        <v>731</v>
      </c>
      <c r="I10" s="108" t="s">
        <v>734</v>
      </c>
    </row>
    <row r="11" spans="1:9">
      <c r="D11" s="109"/>
      <c r="E11" s="1" t="s">
        <v>728</v>
      </c>
      <c r="F11" s="48"/>
      <c r="G11" s="1" t="s">
        <v>732</v>
      </c>
      <c r="I11" s="109"/>
    </row>
    <row r="12" spans="1:9">
      <c r="D12" s="109"/>
      <c r="E12" s="1" t="s">
        <v>729</v>
      </c>
      <c r="F12" s="48"/>
      <c r="I12" s="109"/>
    </row>
    <row r="13" spans="1:9">
      <c r="D13" s="109"/>
      <c r="F13" s="48"/>
      <c r="G13" s="1" t="s">
        <v>733</v>
      </c>
      <c r="I13" s="109"/>
    </row>
    <row r="14" spans="1:9">
      <c r="D14" s="109"/>
      <c r="E14" s="1" t="s">
        <v>730</v>
      </c>
      <c r="F14" s="48"/>
      <c r="I14" s="109"/>
    </row>
    <row r="15" spans="1:9" ht="20.25" thickBot="1">
      <c r="D15" s="109"/>
      <c r="F15" s="48"/>
      <c r="G15" s="1" t="s">
        <v>439</v>
      </c>
      <c r="I15" s="109"/>
    </row>
    <row r="16" spans="1:9" ht="20.25" thickBot="1">
      <c r="D16" s="110"/>
      <c r="E16" s="51"/>
      <c r="F16" s="50"/>
      <c r="G16" s="51"/>
      <c r="H16" s="51"/>
      <c r="I16" s="110"/>
    </row>
    <row r="17" spans="2:9" ht="20.25" thickBot="1">
      <c r="D17" s="49" t="s">
        <v>737</v>
      </c>
      <c r="E17" s="51"/>
      <c r="F17" s="52"/>
      <c r="G17" s="49" t="s">
        <v>738</v>
      </c>
      <c r="H17" s="51"/>
      <c r="I17" s="52"/>
    </row>
    <row r="18" spans="2:9">
      <c r="B18" s="1" t="s">
        <v>736</v>
      </c>
    </row>
    <row r="20" spans="2:9" ht="20.25" thickBot="1">
      <c r="B20" s="1" t="s">
        <v>739</v>
      </c>
    </row>
    <row r="21" spans="2:9" ht="20.25" thickBot="1">
      <c r="B21" s="1" t="s">
        <v>740</v>
      </c>
      <c r="D21" s="105" t="s">
        <v>13</v>
      </c>
      <c r="E21" s="106"/>
      <c r="F21" s="106"/>
      <c r="G21" s="106"/>
      <c r="H21" s="106"/>
      <c r="I21" s="107"/>
    </row>
    <row r="22" spans="2:9">
      <c r="D22" s="1" t="s">
        <v>87</v>
      </c>
    </row>
    <row r="23" spans="2:9">
      <c r="D23" s="1" t="s">
        <v>730</v>
      </c>
    </row>
    <row r="24" spans="2:9">
      <c r="D24" s="1" t="s">
        <v>728</v>
      </c>
    </row>
    <row r="25" spans="2:9">
      <c r="D25" s="53" t="s">
        <v>162</v>
      </c>
      <c r="E25" s="53"/>
      <c r="F25" s="53"/>
      <c r="G25" s="53"/>
      <c r="H25" s="53"/>
      <c r="I25" s="53"/>
    </row>
    <row r="26" spans="2:9">
      <c r="D26" s="1" t="s">
        <v>439</v>
      </c>
    </row>
    <row r="27" spans="2:9">
      <c r="D27" s="1" t="s">
        <v>731</v>
      </c>
    </row>
    <row r="28" spans="2:9">
      <c r="D28" s="1" t="s">
        <v>741</v>
      </c>
    </row>
    <row r="29" spans="2:9">
      <c r="D29" s="1" t="s">
        <v>732</v>
      </c>
    </row>
    <row r="30" spans="2:9">
      <c r="D30" s="53" t="s">
        <v>742</v>
      </c>
      <c r="E30" s="53"/>
      <c r="F30" s="53"/>
      <c r="G30" s="53"/>
      <c r="H30" s="53"/>
      <c r="I30" s="53"/>
    </row>
    <row r="32" spans="2:9">
      <c r="B32" s="1" t="s">
        <v>743</v>
      </c>
    </row>
    <row r="33" spans="2:7">
      <c r="B33" s="1" t="s">
        <v>744</v>
      </c>
    </row>
    <row r="34" spans="2:7">
      <c r="B34" s="1" t="s">
        <v>745</v>
      </c>
      <c r="E34" s="2" t="s">
        <v>339</v>
      </c>
      <c r="F34" s="2" t="s">
        <v>133</v>
      </c>
    </row>
    <row r="35" spans="2:7">
      <c r="B35" s="1" t="s">
        <v>746</v>
      </c>
      <c r="E35" s="2"/>
      <c r="F35" s="2"/>
    </row>
    <row r="36" spans="2:7">
      <c r="E36" s="2" t="s">
        <v>339</v>
      </c>
      <c r="F36" s="2" t="s">
        <v>133</v>
      </c>
      <c r="G36" s="2" t="s">
        <v>747</v>
      </c>
    </row>
    <row r="37" spans="2:7">
      <c r="B37" s="1" t="s">
        <v>748</v>
      </c>
    </row>
    <row r="39" spans="2:7">
      <c r="B39" s="1" t="s">
        <v>312</v>
      </c>
    </row>
    <row r="40" spans="2:7">
      <c r="B40" s="1" t="s">
        <v>749</v>
      </c>
    </row>
    <row r="42" spans="2:7">
      <c r="B42" s="1" t="s">
        <v>750</v>
      </c>
    </row>
    <row r="43" spans="2:7">
      <c r="B43" s="1" t="s">
        <v>751</v>
      </c>
    </row>
    <row r="44" spans="2:7">
      <c r="B44" s="1" t="s">
        <v>752</v>
      </c>
    </row>
    <row r="46" spans="2:7">
      <c r="B46" s="1" t="s">
        <v>753</v>
      </c>
      <c r="D46" s="2" t="s">
        <v>754</v>
      </c>
    </row>
    <row r="47" spans="2:7">
      <c r="B47" s="1" t="s">
        <v>755</v>
      </c>
    </row>
    <row r="49" spans="2:9">
      <c r="B49" s="1" t="s">
        <v>756</v>
      </c>
      <c r="C49" s="1" t="s">
        <v>757</v>
      </c>
      <c r="E49" s="1" t="s">
        <v>214</v>
      </c>
    </row>
    <row r="50" spans="2:9">
      <c r="B50" s="1" t="s">
        <v>758</v>
      </c>
      <c r="C50" s="1" t="s">
        <v>759</v>
      </c>
      <c r="E50" s="1" t="s">
        <v>760</v>
      </c>
    </row>
    <row r="51" spans="2:9">
      <c r="B51" s="1" t="s">
        <v>761</v>
      </c>
      <c r="C51" s="1" t="s">
        <v>762</v>
      </c>
      <c r="E51" s="1" t="s">
        <v>763</v>
      </c>
    </row>
    <row r="54" spans="2:9">
      <c r="B54" s="1" t="s">
        <v>214</v>
      </c>
    </row>
    <row r="55" spans="2:9">
      <c r="B55" s="1" t="s">
        <v>764</v>
      </c>
    </row>
    <row r="56" spans="2:9">
      <c r="B56" s="1" t="s">
        <v>765</v>
      </c>
    </row>
    <row r="58" spans="2:9">
      <c r="B58" s="1" t="s">
        <v>766</v>
      </c>
    </row>
    <row r="60" spans="2:9">
      <c r="C60" s="15" t="s">
        <v>46</v>
      </c>
      <c r="D60" s="30" t="s">
        <v>768</v>
      </c>
      <c r="E60" s="21" t="s">
        <v>775</v>
      </c>
      <c r="G60" s="103" t="s">
        <v>780</v>
      </c>
      <c r="H60" s="103"/>
      <c r="I60" s="103"/>
    </row>
    <row r="61" spans="2:9">
      <c r="C61" s="15" t="s">
        <v>767</v>
      </c>
      <c r="D61" s="26">
        <v>2000000000</v>
      </c>
      <c r="E61" s="27">
        <f>D61</f>
        <v>2000000000</v>
      </c>
      <c r="G61" s="26" t="s">
        <v>46</v>
      </c>
      <c r="H61" s="26" t="s">
        <v>276</v>
      </c>
      <c r="I61" s="26" t="s">
        <v>277</v>
      </c>
    </row>
    <row r="62" spans="2:9">
      <c r="C62" s="15" t="s">
        <v>769</v>
      </c>
      <c r="D62" s="26">
        <v>50000000</v>
      </c>
      <c r="E62" s="27">
        <f>D62</f>
        <v>50000000</v>
      </c>
      <c r="G62" s="26" t="s">
        <v>776</v>
      </c>
      <c r="H62" s="26">
        <f>E67</f>
        <v>2075000000</v>
      </c>
      <c r="I62" s="26"/>
    </row>
    <row r="63" spans="2:9">
      <c r="C63" s="15" t="s">
        <v>770</v>
      </c>
      <c r="D63" s="26">
        <v>60000000</v>
      </c>
      <c r="E63" s="4">
        <v>0</v>
      </c>
      <c r="G63" s="26" t="s">
        <v>777</v>
      </c>
      <c r="H63" s="26">
        <f>D66</f>
        <v>180000000</v>
      </c>
      <c r="I63" s="26"/>
    </row>
    <row r="64" spans="2:9">
      <c r="C64" s="15" t="s">
        <v>771</v>
      </c>
      <c r="D64" s="26">
        <v>25000000</v>
      </c>
      <c r="E64" s="27">
        <f>D64</f>
        <v>25000000</v>
      </c>
      <c r="G64" s="26" t="s">
        <v>778</v>
      </c>
      <c r="H64" s="26">
        <f>D63</f>
        <v>60000000</v>
      </c>
      <c r="I64" s="26"/>
    </row>
    <row r="65" spans="3:9">
      <c r="C65" s="15" t="s">
        <v>708</v>
      </c>
      <c r="D65" s="26">
        <f>SUM(D61:D64)</f>
        <v>2135000000</v>
      </c>
      <c r="E65" s="26">
        <f>SUM(E61:E64)</f>
        <v>2075000000</v>
      </c>
      <c r="G65" s="26" t="s">
        <v>564</v>
      </c>
      <c r="H65" s="26">
        <f>D68</f>
        <v>463000000</v>
      </c>
      <c r="I65" s="26"/>
    </row>
    <row r="66" spans="3:9">
      <c r="C66" s="15" t="s">
        <v>772</v>
      </c>
      <c r="D66" s="26">
        <f>D61*9%</f>
        <v>180000000</v>
      </c>
      <c r="E66" s="26">
        <v>0</v>
      </c>
      <c r="G66" s="26" t="s">
        <v>779</v>
      </c>
      <c r="H66" s="26"/>
      <c r="I66" s="26">
        <f>D69</f>
        <v>2778000000</v>
      </c>
    </row>
    <row r="67" spans="3:9">
      <c r="C67" s="15" t="s">
        <v>773</v>
      </c>
      <c r="D67" s="26">
        <f>D65+D66</f>
        <v>2315000000</v>
      </c>
      <c r="E67" s="26">
        <f>E65+E66</f>
        <v>2075000000</v>
      </c>
      <c r="G67" s="26"/>
      <c r="H67" s="26">
        <f>SUM(H62:H66)</f>
        <v>2778000000</v>
      </c>
      <c r="I67" s="26">
        <f>SUM(I62:I66)</f>
        <v>2778000000</v>
      </c>
    </row>
    <row r="68" spans="3:9">
      <c r="C68" s="15" t="s">
        <v>564</v>
      </c>
      <c r="D68" s="26">
        <f>D67*0.2</f>
        <v>463000000</v>
      </c>
      <c r="E68" s="4"/>
    </row>
    <row r="69" spans="3:9">
      <c r="C69" s="15" t="s">
        <v>774</v>
      </c>
      <c r="D69" s="26">
        <f>D67+D68</f>
        <v>2778000000</v>
      </c>
      <c r="E69" s="4"/>
    </row>
    <row r="71" spans="3:9">
      <c r="C71" s="1" t="s">
        <v>781</v>
      </c>
    </row>
    <row r="72" spans="3:9">
      <c r="C72" s="1" t="s">
        <v>782</v>
      </c>
    </row>
    <row r="73" spans="3:9">
      <c r="C73" s="1" t="s">
        <v>783</v>
      </c>
      <c r="D73" s="1" t="s">
        <v>785</v>
      </c>
    </row>
    <row r="74" spans="3:9">
      <c r="C74" s="1" t="s">
        <v>784</v>
      </c>
      <c r="D74" s="1" t="s">
        <v>786</v>
      </c>
    </row>
    <row r="75" spans="3:9">
      <c r="D75" s="1" t="s">
        <v>787</v>
      </c>
    </row>
    <row r="77" spans="3:9">
      <c r="C77" s="1" t="s">
        <v>788</v>
      </c>
    </row>
    <row r="78" spans="3:9">
      <c r="C78" s="1" t="s">
        <v>789</v>
      </c>
      <c r="D78" s="1" t="s">
        <v>783</v>
      </c>
    </row>
    <row r="79" spans="3:9">
      <c r="C79" s="1" t="s">
        <v>790</v>
      </c>
      <c r="D79" s="1">
        <v>6</v>
      </c>
    </row>
    <row r="80" spans="3:9">
      <c r="C80" s="1" t="s">
        <v>791</v>
      </c>
      <c r="D80" s="1" t="s">
        <v>785</v>
      </c>
      <c r="E80" s="1" t="s">
        <v>792</v>
      </c>
    </row>
    <row r="81" spans="2:9">
      <c r="C81" s="1" t="s">
        <v>793</v>
      </c>
    </row>
    <row r="83" spans="2:9">
      <c r="C83" s="1" t="s">
        <v>794</v>
      </c>
    </row>
    <row r="84" spans="2:9">
      <c r="C84" s="1" t="s">
        <v>792</v>
      </c>
      <c r="D84" s="15">
        <f>H62</f>
        <v>2075000000</v>
      </c>
      <c r="E84" s="15">
        <v>6</v>
      </c>
      <c r="F84" s="15">
        <f>D84/E84</f>
        <v>345833333.33333331</v>
      </c>
    </row>
    <row r="85" spans="2:9">
      <c r="C85" s="1" t="s">
        <v>795</v>
      </c>
      <c r="F85" s="54">
        <f>F84/12*11</f>
        <v>317013888.8888889</v>
      </c>
    </row>
    <row r="87" spans="2:9">
      <c r="G87" s="103" t="s">
        <v>796</v>
      </c>
      <c r="H87" s="103"/>
      <c r="I87" s="103"/>
    </row>
    <row r="88" spans="2:9">
      <c r="G88" s="26" t="s">
        <v>46</v>
      </c>
      <c r="H88" s="26" t="s">
        <v>276</v>
      </c>
      <c r="I88" s="26" t="s">
        <v>277</v>
      </c>
    </row>
    <row r="89" spans="2:9">
      <c r="G89" s="4" t="s">
        <v>469</v>
      </c>
      <c r="H89" s="55">
        <f>F85</f>
        <v>317013888.8888889</v>
      </c>
      <c r="I89" s="4"/>
    </row>
    <row r="90" spans="2:9">
      <c r="G90" s="4" t="s">
        <v>797</v>
      </c>
      <c r="H90" s="4"/>
      <c r="I90" s="55">
        <f>H89</f>
        <v>317013888.8888889</v>
      </c>
    </row>
    <row r="91" spans="2:9">
      <c r="C91" s="1" t="s">
        <v>798</v>
      </c>
    </row>
    <row r="93" spans="2:9">
      <c r="C93" s="1" t="s">
        <v>46</v>
      </c>
      <c r="D93" s="1" t="s">
        <v>776</v>
      </c>
    </row>
    <row r="94" spans="2:9">
      <c r="B94" s="91" t="s">
        <v>214</v>
      </c>
      <c r="C94" s="56" t="s">
        <v>799</v>
      </c>
      <c r="D94" s="26">
        <v>0</v>
      </c>
    </row>
    <row r="95" spans="2:9">
      <c r="B95" s="91"/>
      <c r="C95" s="56" t="s">
        <v>800</v>
      </c>
      <c r="D95" s="26">
        <f>D84</f>
        <v>2075000000</v>
      </c>
    </row>
    <row r="96" spans="2:9">
      <c r="B96" s="91"/>
      <c r="C96" s="56" t="s">
        <v>801</v>
      </c>
      <c r="D96" s="26">
        <v>0</v>
      </c>
    </row>
    <row r="97" spans="2:8">
      <c r="B97" s="91"/>
      <c r="C97" s="56" t="s">
        <v>802</v>
      </c>
      <c r="D97" s="26">
        <v>0</v>
      </c>
    </row>
    <row r="98" spans="2:8">
      <c r="B98" s="91"/>
      <c r="C98" s="56" t="s">
        <v>803</v>
      </c>
      <c r="D98" s="26">
        <f>SUM(D94:D97)</f>
        <v>2075000000</v>
      </c>
    </row>
    <row r="99" spans="2:8">
      <c r="B99" s="91" t="s">
        <v>804</v>
      </c>
      <c r="C99" s="4" t="s">
        <v>805</v>
      </c>
      <c r="D99" s="26">
        <v>0</v>
      </c>
    </row>
    <row r="100" spans="2:8">
      <c r="B100" s="91"/>
      <c r="C100" s="4" t="s">
        <v>806</v>
      </c>
      <c r="D100" s="26">
        <f>H89</f>
        <v>317013888.8888889</v>
      </c>
    </row>
    <row r="101" spans="2:8">
      <c r="B101" s="91"/>
      <c r="C101" s="4" t="s">
        <v>807</v>
      </c>
      <c r="D101" s="26">
        <v>0</v>
      </c>
    </row>
    <row r="102" spans="2:8">
      <c r="B102" s="91"/>
      <c r="C102" s="4" t="s">
        <v>802</v>
      </c>
      <c r="D102" s="26">
        <v>0</v>
      </c>
    </row>
    <row r="103" spans="2:8">
      <c r="B103" s="91"/>
      <c r="C103" s="4" t="s">
        <v>803</v>
      </c>
      <c r="D103" s="26">
        <f>SUM(D99:D102)</f>
        <v>317013888.8888889</v>
      </c>
    </row>
    <row r="104" spans="2:8">
      <c r="C104" s="1" t="s">
        <v>808</v>
      </c>
      <c r="D104" s="15">
        <f>D98-D103</f>
        <v>1757986111.1111112</v>
      </c>
    </row>
    <row r="105" spans="2:8">
      <c r="C105" s="1" t="s">
        <v>809</v>
      </c>
      <c r="D105" s="1">
        <v>0</v>
      </c>
    </row>
    <row r="107" spans="2:8">
      <c r="B107" s="1" t="s">
        <v>810</v>
      </c>
    </row>
    <row r="109" spans="2:8">
      <c r="C109" s="1" t="s">
        <v>811</v>
      </c>
      <c r="D109" s="15">
        <f>G111</f>
        <v>1800000000</v>
      </c>
      <c r="F109" s="93" t="s">
        <v>275</v>
      </c>
      <c r="G109" s="93"/>
      <c r="H109" s="93"/>
    </row>
    <row r="110" spans="2:8">
      <c r="C110" s="1" t="s">
        <v>812</v>
      </c>
      <c r="D110" s="15">
        <f>D109/1.1</f>
        <v>1636363636.3636363</v>
      </c>
      <c r="F110" s="3" t="s">
        <v>46</v>
      </c>
      <c r="G110" s="3" t="s">
        <v>276</v>
      </c>
      <c r="H110" s="3" t="s">
        <v>277</v>
      </c>
    </row>
    <row r="111" spans="2:8">
      <c r="C111" s="1" t="s">
        <v>772</v>
      </c>
      <c r="D111" s="29">
        <f>D110*0.1</f>
        <v>163636363.63636363</v>
      </c>
      <c r="F111" s="4" t="s">
        <v>278</v>
      </c>
      <c r="G111" s="26">
        <v>1800000000</v>
      </c>
      <c r="H111" s="26"/>
    </row>
    <row r="112" spans="2:8">
      <c r="C112" s="1" t="s">
        <v>813</v>
      </c>
      <c r="D112" s="29">
        <f>D110+D111</f>
        <v>1800000000</v>
      </c>
      <c r="F112" s="4" t="s">
        <v>797</v>
      </c>
      <c r="G112" s="26">
        <f>D103</f>
        <v>317013888.8888889</v>
      </c>
      <c r="H112" s="26"/>
    </row>
    <row r="113" spans="2:8">
      <c r="F113" s="4" t="s">
        <v>776</v>
      </c>
      <c r="G113" s="26"/>
      <c r="H113" s="26">
        <f>D98</f>
        <v>2075000000</v>
      </c>
    </row>
    <row r="114" spans="2:8">
      <c r="F114" s="4" t="s">
        <v>814</v>
      </c>
      <c r="G114" s="4"/>
      <c r="H114" s="57">
        <f>D111</f>
        <v>163636363.63636363</v>
      </c>
    </row>
    <row r="115" spans="2:8">
      <c r="F115" s="4" t="s">
        <v>815</v>
      </c>
      <c r="G115" s="26">
        <v>121622475</v>
      </c>
      <c r="H115" s="26"/>
    </row>
    <row r="116" spans="2:8">
      <c r="G116" s="15">
        <f>SUM(G111:G115)</f>
        <v>2238636363.8888888</v>
      </c>
      <c r="H116" s="15">
        <f>SUM(H111:H115)</f>
        <v>2238636363.6363635</v>
      </c>
    </row>
    <row r="117" spans="2:8">
      <c r="B117" s="1" t="s">
        <v>816</v>
      </c>
    </row>
    <row r="118" spans="2:8">
      <c r="B118" s="111" t="s">
        <v>822</v>
      </c>
      <c r="C118" s="1" t="s">
        <v>214</v>
      </c>
      <c r="F118" s="111" t="s">
        <v>821</v>
      </c>
      <c r="H118" s="16">
        <f>H116-G116</f>
        <v>-0.25252532958984375</v>
      </c>
    </row>
    <row r="119" spans="2:8">
      <c r="B119" s="111"/>
      <c r="C119" s="1" t="s">
        <v>817</v>
      </c>
      <c r="F119" s="111"/>
    </row>
    <row r="120" spans="2:8" ht="39">
      <c r="B120" s="111"/>
      <c r="C120" s="1" t="s">
        <v>818</v>
      </c>
      <c r="D120" s="1" t="s">
        <v>819</v>
      </c>
      <c r="E120" s="58" t="s">
        <v>820</v>
      </c>
      <c r="F120" s="111"/>
    </row>
    <row r="123" spans="2:8">
      <c r="B123" s="1" t="s">
        <v>823</v>
      </c>
    </row>
    <row r="125" spans="2:8">
      <c r="B125" s="1" t="s">
        <v>824</v>
      </c>
    </row>
    <row r="126" spans="2:8">
      <c r="B126" s="1" t="s">
        <v>825</v>
      </c>
    </row>
    <row r="127" spans="2:8">
      <c r="B127" s="1" t="s">
        <v>826</v>
      </c>
    </row>
    <row r="128" spans="2:8">
      <c r="B128" s="1" t="s">
        <v>827</v>
      </c>
    </row>
    <row r="129" spans="2:4">
      <c r="B129" s="1" t="s">
        <v>828</v>
      </c>
    </row>
    <row r="130" spans="2:4">
      <c r="B130" s="1" t="s">
        <v>214</v>
      </c>
    </row>
    <row r="131" spans="2:4">
      <c r="B131" s="1" t="s">
        <v>220</v>
      </c>
    </row>
    <row r="132" spans="2:4">
      <c r="B132" s="1" t="s">
        <v>829</v>
      </c>
      <c r="C132" s="1" t="s">
        <v>831</v>
      </c>
    </row>
    <row r="133" spans="2:4" ht="20.25">
      <c r="B133" s="8" t="s">
        <v>830</v>
      </c>
      <c r="C133" s="1" t="s">
        <v>832</v>
      </c>
    </row>
    <row r="135" spans="2:4">
      <c r="B135" s="1" t="s">
        <v>833</v>
      </c>
    </row>
    <row r="137" spans="2:4">
      <c r="B137" s="1" t="s">
        <v>834</v>
      </c>
      <c r="C137" s="1" t="s">
        <v>830</v>
      </c>
      <c r="D137" s="32">
        <v>4000000000</v>
      </c>
    </row>
    <row r="138" spans="2:4" ht="20.25">
      <c r="C138" s="1" t="s">
        <v>835</v>
      </c>
      <c r="D138" s="59">
        <v>2500000000</v>
      </c>
    </row>
    <row r="140" spans="2:4">
      <c r="C140" s="1" t="s">
        <v>836</v>
      </c>
    </row>
    <row r="142" spans="2:4">
      <c r="B142" s="1" t="s">
        <v>837</v>
      </c>
      <c r="C142" s="1" t="s">
        <v>838</v>
      </c>
    </row>
    <row r="143" spans="2:4">
      <c r="C143" s="1" t="s">
        <v>839</v>
      </c>
    </row>
    <row r="145" spans="2:5">
      <c r="C145" s="1" t="s">
        <v>840</v>
      </c>
      <c r="D145" s="2" t="s">
        <v>841</v>
      </c>
      <c r="E145" s="2" t="s">
        <v>843</v>
      </c>
    </row>
    <row r="146" spans="2:5">
      <c r="D146" s="2" t="s">
        <v>842</v>
      </c>
      <c r="E146" s="2" t="s">
        <v>844</v>
      </c>
    </row>
    <row r="148" spans="2:5">
      <c r="C148" s="1" t="s">
        <v>845</v>
      </c>
      <c r="D148" s="1" t="s">
        <v>846</v>
      </c>
    </row>
    <row r="150" spans="2:5">
      <c r="B150" s="1" t="s">
        <v>847</v>
      </c>
    </row>
    <row r="151" spans="2:5">
      <c r="B151" s="1" t="s">
        <v>848</v>
      </c>
    </row>
    <row r="152" spans="2:5">
      <c r="B152" s="1" t="s">
        <v>849</v>
      </c>
    </row>
  </sheetData>
  <mergeCells count="11">
    <mergeCell ref="B94:B98"/>
    <mergeCell ref="B99:B103"/>
    <mergeCell ref="F109:H109"/>
    <mergeCell ref="F118:F120"/>
    <mergeCell ref="B118:B120"/>
    <mergeCell ref="G87:I87"/>
    <mergeCell ref="E9:H9"/>
    <mergeCell ref="I10:I16"/>
    <mergeCell ref="D10:D16"/>
    <mergeCell ref="D21:I21"/>
    <mergeCell ref="G60:I60"/>
  </mergeCells>
  <pageMargins left="0.7" right="0.7" top="0.75" bottom="0.75" header="0.3" footer="0.3"/>
  <pageSetup orientation="portrait" r:id="rId1"/>
  <headerFooter>
    <oddFooter>&amp;C&amp;"B Zar,Bold"&amp;14&amp;P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DE546-9B15-4A8D-983B-48E15EB7527A}">
  <dimension ref="A1:E1"/>
  <sheetViews>
    <sheetView rightToLeft="1" zoomScale="200" zoomScaleNormal="200" workbookViewId="0">
      <pane ySplit="1" topLeftCell="A2" activePane="bottomLeft" state="frozen"/>
      <selection pane="bottomLeft" activeCell="C2" sqref="C2"/>
    </sheetView>
  </sheetViews>
  <sheetFormatPr defaultRowHeight="19.5"/>
  <cols>
    <col min="1" max="1" width="9" style="1"/>
    <col min="2" max="2" width="14.625" style="1" customWidth="1"/>
    <col min="3" max="3" width="25.5" style="1" customWidth="1"/>
    <col min="4" max="4" width="19.5" style="1" bestFit="1" customWidth="1"/>
    <col min="5" max="5" width="11.625" style="1" customWidth="1"/>
    <col min="6" max="6" width="16.875" style="1" customWidth="1"/>
    <col min="7" max="7" width="14.375" style="1" customWidth="1"/>
    <col min="8" max="16384" width="9" style="1"/>
  </cols>
  <sheetData>
    <row r="1" spans="1:5" ht="24" customHeight="1">
      <c r="A1" s="2" t="e" vm="1">
        <v>#VALUE!</v>
      </c>
      <c r="B1" s="92" t="s">
        <v>2</v>
      </c>
      <c r="C1" s="92"/>
      <c r="D1" s="1" t="s">
        <v>602</v>
      </c>
      <c r="E1" s="1" t="s">
        <v>1560</v>
      </c>
    </row>
  </sheetData>
  <mergeCells count="1">
    <mergeCell ref="B1:C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9CC1-4223-4D7E-AD16-6153EEB481AF}">
  <dimension ref="A1:F46"/>
  <sheetViews>
    <sheetView rightToLeft="1" tabSelected="1" zoomScale="200" zoomScaleNormal="200" workbookViewId="0">
      <pane ySplit="1" topLeftCell="A34" activePane="bottomLeft" state="frozen"/>
      <selection pane="bottomLeft" activeCell="D43" sqref="D43"/>
    </sheetView>
  </sheetViews>
  <sheetFormatPr defaultRowHeight="19.5"/>
  <cols>
    <col min="1" max="1" width="9" style="1"/>
    <col min="2" max="2" width="14.625" style="1" customWidth="1"/>
    <col min="3" max="3" width="28.625" style="1" customWidth="1"/>
    <col min="4" max="4" width="19.5" style="1" bestFit="1" customWidth="1"/>
    <col min="5" max="5" width="13.875" style="1" customWidth="1"/>
    <col min="6" max="6" width="16.875" style="1" customWidth="1"/>
    <col min="7" max="7" width="14.375" style="1" customWidth="1"/>
    <col min="8" max="16384" width="9" style="1"/>
  </cols>
  <sheetData>
    <row r="1" spans="1:5" ht="24" customHeight="1">
      <c r="A1" s="2" t="e" vm="1">
        <v>#VALUE!</v>
      </c>
      <c r="B1" s="92" t="s">
        <v>2</v>
      </c>
      <c r="C1" s="92"/>
      <c r="D1" s="1" t="s">
        <v>602</v>
      </c>
      <c r="E1" s="1" t="s">
        <v>1560</v>
      </c>
    </row>
    <row r="3" spans="1:5">
      <c r="B3" s="1" t="s">
        <v>1561</v>
      </c>
    </row>
    <row r="4" spans="1:5">
      <c r="B4" s="1" t="s">
        <v>148</v>
      </c>
      <c r="C4" s="1" t="s">
        <v>1562</v>
      </c>
    </row>
    <row r="5" spans="1:5">
      <c r="B5" s="1" t="s">
        <v>1563</v>
      </c>
    </row>
    <row r="6" spans="1:5">
      <c r="B6" s="1" t="s">
        <v>40</v>
      </c>
      <c r="C6" s="1" t="s">
        <v>1564</v>
      </c>
    </row>
    <row r="7" spans="1:5">
      <c r="B7" s="1" t="s">
        <v>41</v>
      </c>
      <c r="C7" s="1" t="s">
        <v>1565</v>
      </c>
    </row>
    <row r="9" spans="1:5">
      <c r="B9" s="1" t="s">
        <v>1566</v>
      </c>
    </row>
    <row r="10" spans="1:5">
      <c r="B10" s="1" t="s">
        <v>1567</v>
      </c>
    </row>
    <row r="11" spans="1:5">
      <c r="B11" s="1" t="s">
        <v>1568</v>
      </c>
    </row>
    <row r="12" spans="1:5">
      <c r="B12" s="1" t="s">
        <v>166</v>
      </c>
      <c r="C12" s="1" t="s">
        <v>1569</v>
      </c>
    </row>
    <row r="14" spans="1:5" ht="20.25">
      <c r="B14" s="125" t="s">
        <v>167</v>
      </c>
      <c r="C14" s="125" t="s">
        <v>168</v>
      </c>
      <c r="D14" s="125" t="s">
        <v>169</v>
      </c>
      <c r="E14" s="125" t="s">
        <v>170</v>
      </c>
    </row>
    <row r="15" spans="1:5">
      <c r="B15" s="123">
        <v>0</v>
      </c>
      <c r="C15" s="123">
        <v>1000000000</v>
      </c>
      <c r="D15" s="64">
        <v>0.03</v>
      </c>
      <c r="E15" s="55">
        <f>(C15-B15)*D15</f>
        <v>30000000</v>
      </c>
    </row>
    <row r="16" spans="1:5">
      <c r="B16" s="123">
        <f>C15</f>
        <v>1000000000</v>
      </c>
      <c r="C16" s="123">
        <f>C15*10</f>
        <v>10000000000</v>
      </c>
      <c r="D16" s="124">
        <v>2.5000000000000001E-2</v>
      </c>
      <c r="E16" s="55">
        <f t="shared" ref="E16:E19" si="0">(C16-B16)*D16</f>
        <v>225000000</v>
      </c>
    </row>
    <row r="17" spans="2:6">
      <c r="B17" s="123">
        <f t="shared" ref="B17:B19" si="1">C16</f>
        <v>10000000000</v>
      </c>
      <c r="C17" s="123">
        <f t="shared" ref="C17:C19" si="2">C16*10</f>
        <v>100000000000</v>
      </c>
      <c r="D17" s="64">
        <v>0.02</v>
      </c>
      <c r="E17" s="55">
        <f t="shared" si="0"/>
        <v>1800000000</v>
      </c>
    </row>
    <row r="18" spans="2:6">
      <c r="B18" s="123">
        <f t="shared" si="1"/>
        <v>100000000000</v>
      </c>
      <c r="C18" s="123">
        <f t="shared" si="2"/>
        <v>1000000000000</v>
      </c>
      <c r="D18" s="124">
        <v>1.4999999999999999E-2</v>
      </c>
      <c r="E18" s="55">
        <f t="shared" si="0"/>
        <v>13500000000</v>
      </c>
    </row>
    <row r="19" spans="2:6">
      <c r="B19" s="123">
        <f t="shared" si="1"/>
        <v>1000000000000</v>
      </c>
      <c r="C19" s="123">
        <f>C24</f>
        <v>8736941500000</v>
      </c>
      <c r="D19" s="64">
        <v>0.01</v>
      </c>
      <c r="E19" s="55">
        <f t="shared" si="0"/>
        <v>77369415000</v>
      </c>
    </row>
    <row r="20" spans="2:6">
      <c r="B20" s="122"/>
      <c r="C20" s="122"/>
      <c r="E20" s="54">
        <f>SUM(E15:E19)</f>
        <v>92924415000</v>
      </c>
      <c r="F20" s="1" t="s">
        <v>1573</v>
      </c>
    </row>
    <row r="21" spans="2:6">
      <c r="B21" s="1" t="s">
        <v>1571</v>
      </c>
      <c r="C21" s="122">
        <v>11001648000000</v>
      </c>
    </row>
    <row r="22" spans="2:6">
      <c r="B22" s="1" t="s">
        <v>1570</v>
      </c>
      <c r="C22" s="126">
        <v>6472235000000</v>
      </c>
    </row>
    <row r="23" spans="2:6">
      <c r="B23" s="1" t="s">
        <v>1572</v>
      </c>
      <c r="C23" s="54">
        <f>SUM(C21:C22)</f>
        <v>17473883000000</v>
      </c>
    </row>
    <row r="24" spans="2:6">
      <c r="B24" s="1" t="s">
        <v>165</v>
      </c>
      <c r="C24" s="54">
        <f>C23/2</f>
        <v>8736941500000</v>
      </c>
    </row>
    <row r="26" spans="2:6">
      <c r="B26" s="1" t="s">
        <v>1574</v>
      </c>
    </row>
    <row r="27" spans="2:6">
      <c r="B27" s="1" t="s">
        <v>1575</v>
      </c>
    </row>
    <row r="29" spans="2:6">
      <c r="B29" s="1" t="s">
        <v>1576</v>
      </c>
    </row>
    <row r="30" spans="2:6" ht="20.25">
      <c r="B30" s="127" t="s">
        <v>154</v>
      </c>
      <c r="C30" s="127" t="s">
        <v>155</v>
      </c>
    </row>
    <row r="31" spans="2:6">
      <c r="B31" s="96" t="s">
        <v>156</v>
      </c>
      <c r="C31" s="4" t="s">
        <v>157</v>
      </c>
    </row>
    <row r="32" spans="2:6">
      <c r="B32" s="97"/>
      <c r="C32" s="4" t="s">
        <v>158</v>
      </c>
    </row>
    <row r="33" spans="2:4">
      <c r="B33" s="98"/>
      <c r="C33" s="4" t="s">
        <v>159</v>
      </c>
    </row>
    <row r="35" spans="2:4">
      <c r="B35" s="1" t="s">
        <v>1577</v>
      </c>
      <c r="C35" s="1" t="s">
        <v>1578</v>
      </c>
    </row>
    <row r="36" spans="2:4">
      <c r="B36" s="1" t="s">
        <v>173</v>
      </c>
      <c r="C36" s="1" t="s">
        <v>1579</v>
      </c>
    </row>
    <row r="37" spans="2:4">
      <c r="B37" s="1" t="s">
        <v>175</v>
      </c>
      <c r="C37" s="1" t="s">
        <v>1580</v>
      </c>
    </row>
    <row r="39" spans="2:4">
      <c r="B39" s="21" t="s">
        <v>46</v>
      </c>
      <c r="C39" s="21" t="s">
        <v>1581</v>
      </c>
      <c r="D39" s="21" t="s">
        <v>1582</v>
      </c>
    </row>
    <row r="40" spans="2:4">
      <c r="B40" s="3" t="s">
        <v>1577</v>
      </c>
      <c r="C40" s="3" t="s">
        <v>157</v>
      </c>
      <c r="D40" s="3" t="s">
        <v>158</v>
      </c>
    </row>
    <row r="41" spans="2:4">
      <c r="B41" s="3" t="s">
        <v>173</v>
      </c>
      <c r="C41" s="3" t="s">
        <v>157</v>
      </c>
      <c r="D41" s="3" t="s">
        <v>159</v>
      </c>
    </row>
    <row r="42" spans="2:4">
      <c r="B42" s="3" t="s">
        <v>175</v>
      </c>
      <c r="C42" s="3" t="s">
        <v>182</v>
      </c>
      <c r="D42" s="3" t="s">
        <v>1586</v>
      </c>
    </row>
    <row r="44" spans="2:4">
      <c r="B44" s="1" t="s">
        <v>1583</v>
      </c>
      <c r="C44" s="1" t="s">
        <v>179</v>
      </c>
    </row>
    <row r="45" spans="2:4">
      <c r="C45" s="1" t="s">
        <v>1585</v>
      </c>
    </row>
    <row r="46" spans="2:4">
      <c r="C46" s="1" t="s">
        <v>1584</v>
      </c>
    </row>
  </sheetData>
  <mergeCells count="2">
    <mergeCell ref="B1:C1"/>
    <mergeCell ref="B31:B3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0B89E-0772-43B9-B7A1-3EC9C0E09A7C}">
  <dimension ref="A1:H213"/>
  <sheetViews>
    <sheetView rightToLeft="1" zoomScale="180" zoomScaleNormal="180" workbookViewId="0">
      <pane ySplit="1" topLeftCell="A162" activePane="bottomLeft" state="frozen"/>
      <selection activeCell="G136" sqref="G136"/>
      <selection pane="bottomLeft" activeCell="G136" sqref="G136"/>
    </sheetView>
  </sheetViews>
  <sheetFormatPr defaultRowHeight="19.5"/>
  <cols>
    <col min="1" max="2" width="9" style="1"/>
    <col min="3" max="3" width="24.375" style="1" customWidth="1"/>
    <col min="4" max="4" width="21.5" style="1" customWidth="1"/>
    <col min="5" max="5" width="14.625" style="1" customWidth="1"/>
    <col min="6" max="6" width="17.25" style="1" customWidth="1"/>
    <col min="7" max="7" width="14.375" style="1" customWidth="1"/>
    <col min="8" max="8" width="9.625" style="1" bestFit="1" customWidth="1"/>
    <col min="9" max="16384" width="9" style="1"/>
  </cols>
  <sheetData>
    <row r="1" spans="1:6" ht="24" customHeight="1">
      <c r="A1" s="2" t="e" vm="1">
        <v>#VALUE!</v>
      </c>
      <c r="B1" s="1" t="s">
        <v>2</v>
      </c>
      <c r="D1" s="1" t="s">
        <v>850</v>
      </c>
      <c r="E1" s="1" t="s">
        <v>0</v>
      </c>
    </row>
    <row r="4" spans="1:6">
      <c r="C4" s="1" t="s">
        <v>851</v>
      </c>
    </row>
    <row r="6" spans="1:6">
      <c r="C6" s="1" t="s">
        <v>852</v>
      </c>
    </row>
    <row r="7" spans="1:6">
      <c r="C7" s="1" t="s">
        <v>853</v>
      </c>
    </row>
    <row r="9" spans="1:6">
      <c r="C9" s="2" t="s">
        <v>91</v>
      </c>
    </row>
    <row r="10" spans="1:6">
      <c r="C10" s="2" t="s">
        <v>92</v>
      </c>
      <c r="F10" s="1" t="s">
        <v>455</v>
      </c>
    </row>
    <row r="11" spans="1:6">
      <c r="F11" s="1" t="s">
        <v>854</v>
      </c>
    </row>
    <row r="12" spans="1:6">
      <c r="F12" s="1" t="s">
        <v>855</v>
      </c>
    </row>
    <row r="13" spans="1:6">
      <c r="F13" s="1" t="s">
        <v>86</v>
      </c>
    </row>
    <row r="14" spans="1:6">
      <c r="F14" s="1" t="s">
        <v>856</v>
      </c>
    </row>
    <row r="20" spans="3:5">
      <c r="C20" s="1" t="s">
        <v>857</v>
      </c>
    </row>
    <row r="22" spans="3:5">
      <c r="C22" s="1" t="s">
        <v>858</v>
      </c>
      <c r="D22" s="1">
        <v>20</v>
      </c>
    </row>
    <row r="23" spans="3:5">
      <c r="C23" s="1" t="s">
        <v>859</v>
      </c>
      <c r="D23" s="1">
        <v>30</v>
      </c>
    </row>
    <row r="24" spans="3:5">
      <c r="C24" s="1" t="s">
        <v>860</v>
      </c>
      <c r="D24" s="1">
        <f>SUM(D22:D23)</f>
        <v>50</v>
      </c>
    </row>
    <row r="25" spans="3:5">
      <c r="C25" s="1" t="s">
        <v>861</v>
      </c>
      <c r="D25" s="1">
        <v>20</v>
      </c>
    </row>
    <row r="26" spans="3:5">
      <c r="C26" s="1" t="s">
        <v>862</v>
      </c>
      <c r="D26" s="1">
        <f>D24-D25</f>
        <v>30</v>
      </c>
    </row>
    <row r="28" spans="3:5">
      <c r="C28" s="1" t="s">
        <v>863</v>
      </c>
    </row>
    <row r="29" spans="3:5">
      <c r="C29" s="1" t="s">
        <v>864</v>
      </c>
    </row>
    <row r="30" spans="3:5">
      <c r="C30" s="1" t="s">
        <v>865</v>
      </c>
      <c r="D30" s="1" t="s">
        <v>866</v>
      </c>
      <c r="E30" s="1" t="s">
        <v>866</v>
      </c>
    </row>
    <row r="31" spans="3:5">
      <c r="D31" s="1" t="s">
        <v>867</v>
      </c>
      <c r="E31" s="1" t="s">
        <v>870</v>
      </c>
    </row>
    <row r="32" spans="3:5">
      <c r="D32" s="1" t="s">
        <v>868</v>
      </c>
      <c r="E32" s="1" t="s">
        <v>871</v>
      </c>
    </row>
    <row r="33" spans="3:6">
      <c r="D33" s="1" t="s">
        <v>869</v>
      </c>
    </row>
    <row r="34" spans="3:6">
      <c r="D34" s="1" t="s">
        <v>870</v>
      </c>
    </row>
    <row r="35" spans="3:6">
      <c r="C35" s="1" t="s">
        <v>871</v>
      </c>
      <c r="D35" s="1" t="s">
        <v>872</v>
      </c>
    </row>
    <row r="36" spans="3:6">
      <c r="D36" s="1" t="s">
        <v>873</v>
      </c>
    </row>
    <row r="37" spans="3:6">
      <c r="C37" s="1" t="s">
        <v>878</v>
      </c>
    </row>
    <row r="38" spans="3:6">
      <c r="C38" s="1" t="s">
        <v>874</v>
      </c>
      <c r="D38" s="1" t="s">
        <v>875</v>
      </c>
    </row>
    <row r="39" spans="3:6">
      <c r="C39" s="1" t="s">
        <v>876</v>
      </c>
      <c r="D39" s="1" t="s">
        <v>877</v>
      </c>
    </row>
    <row r="41" spans="3:6">
      <c r="C41" s="1" t="s">
        <v>879</v>
      </c>
    </row>
    <row r="42" spans="3:6">
      <c r="C42" s="1" t="s">
        <v>880</v>
      </c>
      <c r="D42" s="1" t="s">
        <v>882</v>
      </c>
      <c r="F42" s="1" t="s">
        <v>883</v>
      </c>
    </row>
    <row r="43" spans="3:6">
      <c r="C43" s="1" t="s">
        <v>881</v>
      </c>
      <c r="D43" s="1" t="s">
        <v>884</v>
      </c>
    </row>
    <row r="45" spans="3:6">
      <c r="C45" s="1" t="s">
        <v>885</v>
      </c>
    </row>
    <row r="46" spans="3:6">
      <c r="C46" s="1" t="s">
        <v>866</v>
      </c>
    </row>
    <row r="47" spans="3:6">
      <c r="C47" s="1" t="s">
        <v>886</v>
      </c>
      <c r="D47" s="1" t="s">
        <v>887</v>
      </c>
      <c r="E47" s="1" t="s">
        <v>888</v>
      </c>
    </row>
    <row r="48" spans="3:6">
      <c r="C48" s="1" t="s">
        <v>870</v>
      </c>
    </row>
    <row r="49" spans="3:7">
      <c r="C49" s="1" t="s">
        <v>871</v>
      </c>
    </row>
    <row r="52" spans="3:7">
      <c r="C52" s="1" t="s">
        <v>863</v>
      </c>
    </row>
    <row r="53" spans="3:7">
      <c r="C53" s="1" t="s">
        <v>756</v>
      </c>
      <c r="D53" s="1" t="s">
        <v>889</v>
      </c>
    </row>
    <row r="54" spans="3:7">
      <c r="C54" s="1" t="s">
        <v>890</v>
      </c>
    </row>
    <row r="55" spans="3:7">
      <c r="C55" s="1" t="s">
        <v>891</v>
      </c>
    </row>
    <row r="57" spans="3:7">
      <c r="C57" s="1" t="s">
        <v>892</v>
      </c>
      <c r="D57" s="1" t="s">
        <v>893</v>
      </c>
      <c r="E57" s="93" t="s">
        <v>275</v>
      </c>
      <c r="F57" s="93"/>
      <c r="G57" s="93"/>
    </row>
    <row r="58" spans="3:7">
      <c r="C58" s="1" t="s">
        <v>695</v>
      </c>
      <c r="D58" s="15">
        <v>1000000</v>
      </c>
      <c r="E58" s="4" t="s">
        <v>46</v>
      </c>
      <c r="F58" s="4" t="s">
        <v>276</v>
      </c>
      <c r="G58" s="4" t="s">
        <v>277</v>
      </c>
    </row>
    <row r="59" spans="3:7">
      <c r="C59" s="1" t="s">
        <v>894</v>
      </c>
      <c r="D59" s="15">
        <v>1350</v>
      </c>
      <c r="E59" s="4" t="s">
        <v>897</v>
      </c>
      <c r="F59" s="27">
        <f>D62</f>
        <v>1356750000</v>
      </c>
      <c r="G59" s="4"/>
    </row>
    <row r="60" spans="3:7">
      <c r="C60" s="1" t="s">
        <v>895</v>
      </c>
      <c r="D60" s="15">
        <f>D58*D59</f>
        <v>1350000000</v>
      </c>
      <c r="E60" s="4" t="s">
        <v>278</v>
      </c>
      <c r="F60" s="4"/>
      <c r="G60" s="27">
        <f>F59</f>
        <v>1356750000</v>
      </c>
    </row>
    <row r="61" spans="3:7">
      <c r="C61" s="1" t="s">
        <v>896</v>
      </c>
      <c r="D61" s="15">
        <f>D60*0.5%</f>
        <v>6750000</v>
      </c>
    </row>
    <row r="62" spans="3:7">
      <c r="C62" s="1" t="s">
        <v>773</v>
      </c>
      <c r="D62" s="15">
        <f>D60+D61</f>
        <v>1356750000</v>
      </c>
    </row>
    <row r="64" spans="3:7">
      <c r="C64" s="1" t="s">
        <v>898</v>
      </c>
    </row>
    <row r="65" spans="3:7">
      <c r="C65" s="1" t="s">
        <v>899</v>
      </c>
    </row>
    <row r="66" spans="3:7">
      <c r="C66" s="1" t="s">
        <v>900</v>
      </c>
      <c r="D66" s="1" t="s">
        <v>893</v>
      </c>
    </row>
    <row r="67" spans="3:7">
      <c r="C67" s="1" t="s">
        <v>695</v>
      </c>
      <c r="D67" s="15">
        <v>2000000</v>
      </c>
      <c r="E67" s="93" t="s">
        <v>275</v>
      </c>
      <c r="F67" s="93"/>
      <c r="G67" s="93"/>
    </row>
    <row r="68" spans="3:7">
      <c r="C68" s="1" t="s">
        <v>894</v>
      </c>
      <c r="D68" s="15">
        <v>1450</v>
      </c>
      <c r="E68" s="4" t="s">
        <v>46</v>
      </c>
      <c r="F68" s="4" t="s">
        <v>276</v>
      </c>
      <c r="G68" s="4" t="s">
        <v>277</v>
      </c>
    </row>
    <row r="69" spans="3:7">
      <c r="C69" s="1" t="s">
        <v>895</v>
      </c>
      <c r="D69" s="15">
        <f>D67*D68</f>
        <v>2900000000</v>
      </c>
      <c r="E69" s="4" t="s">
        <v>897</v>
      </c>
      <c r="F69" s="27">
        <f>D71</f>
        <v>2914500000</v>
      </c>
      <c r="G69" s="4"/>
    </row>
    <row r="70" spans="3:7">
      <c r="C70" s="1" t="s">
        <v>896</v>
      </c>
      <c r="D70" s="15">
        <f>D69*0.5%</f>
        <v>14500000</v>
      </c>
      <c r="E70" s="4" t="s">
        <v>564</v>
      </c>
      <c r="F70" s="55">
        <f>D72</f>
        <v>58290000</v>
      </c>
      <c r="G70" s="4"/>
    </row>
    <row r="71" spans="3:7">
      <c r="C71" s="1" t="s">
        <v>773</v>
      </c>
      <c r="D71" s="15">
        <f>D69+D70</f>
        <v>2914500000</v>
      </c>
      <c r="E71" s="4" t="s">
        <v>902</v>
      </c>
      <c r="F71" s="4"/>
      <c r="G71" s="27">
        <f>F69+F70</f>
        <v>2972790000</v>
      </c>
    </row>
    <row r="72" spans="3:7">
      <c r="C72" s="1" t="s">
        <v>901</v>
      </c>
      <c r="D72" s="54">
        <f>D71*0.24/12</f>
        <v>58290000</v>
      </c>
    </row>
    <row r="74" spans="3:7">
      <c r="C74" s="1" t="s">
        <v>903</v>
      </c>
    </row>
    <row r="75" spans="3:7">
      <c r="C75" s="1" t="s">
        <v>904</v>
      </c>
    </row>
    <row r="76" spans="3:7">
      <c r="C76" s="1" t="s">
        <v>695</v>
      </c>
      <c r="D76" s="15">
        <v>1500000</v>
      </c>
      <c r="E76" s="93" t="s">
        <v>275</v>
      </c>
      <c r="F76" s="93"/>
      <c r="G76" s="93"/>
    </row>
    <row r="77" spans="3:7">
      <c r="C77" s="1" t="s">
        <v>894</v>
      </c>
      <c r="D77" s="15">
        <v>1500</v>
      </c>
      <c r="E77" s="4" t="s">
        <v>46</v>
      </c>
      <c r="F77" s="22" t="s">
        <v>276</v>
      </c>
      <c r="G77" s="22" t="s">
        <v>277</v>
      </c>
    </row>
    <row r="78" spans="3:7">
      <c r="C78" s="1" t="s">
        <v>895</v>
      </c>
      <c r="D78" s="15">
        <f>D76*D77</f>
        <v>2250000000</v>
      </c>
      <c r="E78" s="4" t="s">
        <v>278</v>
      </c>
      <c r="F78" s="27">
        <f>D81</f>
        <v>2227500000</v>
      </c>
      <c r="G78" s="4"/>
    </row>
    <row r="79" spans="3:7">
      <c r="C79" s="1" t="s">
        <v>896</v>
      </c>
      <c r="D79" s="15">
        <f>D78*0.5%</f>
        <v>11250000</v>
      </c>
      <c r="E79" s="4" t="s">
        <v>897</v>
      </c>
      <c r="F79" s="4"/>
      <c r="G79" s="27">
        <f>کاردکس!I5</f>
        <v>2135625000</v>
      </c>
    </row>
    <row r="80" spans="3:7">
      <c r="C80" s="1" t="s">
        <v>30</v>
      </c>
      <c r="D80" s="15">
        <f>D79</f>
        <v>11250000</v>
      </c>
      <c r="E80" s="4" t="s">
        <v>915</v>
      </c>
      <c r="F80" s="4"/>
      <c r="G80" s="27">
        <f>F78-G79</f>
        <v>91875000</v>
      </c>
    </row>
    <row r="81" spans="3:6">
      <c r="C81" s="1" t="s">
        <v>773</v>
      </c>
      <c r="D81" s="15">
        <f>D78-D79-D80</f>
        <v>2227500000</v>
      </c>
    </row>
    <row r="82" spans="3:6">
      <c r="D82" s="54"/>
    </row>
    <row r="83" spans="3:6">
      <c r="C83" s="1" t="s">
        <v>916</v>
      </c>
    </row>
    <row r="84" spans="3:6">
      <c r="C84" s="1" t="s">
        <v>917</v>
      </c>
    </row>
    <row r="85" spans="3:6">
      <c r="C85" s="1" t="s">
        <v>918</v>
      </c>
    </row>
    <row r="87" spans="3:6">
      <c r="C87" s="1" t="s">
        <v>920</v>
      </c>
    </row>
    <row r="89" spans="3:6">
      <c r="C89" s="1" t="s">
        <v>921</v>
      </c>
    </row>
    <row r="91" spans="3:6">
      <c r="C91" s="1" t="s">
        <v>922</v>
      </c>
    </row>
    <row r="93" spans="3:6">
      <c r="C93" s="91" t="s">
        <v>596</v>
      </c>
      <c r="D93" s="112" t="s">
        <v>880</v>
      </c>
      <c r="E93" s="4" t="s">
        <v>924</v>
      </c>
      <c r="F93" s="113" t="s">
        <v>926</v>
      </c>
    </row>
    <row r="94" spans="3:6">
      <c r="C94" s="91"/>
      <c r="D94" s="112"/>
      <c r="E94" s="4" t="s">
        <v>817</v>
      </c>
      <c r="F94" s="113"/>
    </row>
    <row r="95" spans="3:6">
      <c r="C95" s="91"/>
      <c r="D95" s="112"/>
      <c r="E95" s="4" t="s">
        <v>925</v>
      </c>
      <c r="F95" s="113"/>
    </row>
    <row r="96" spans="3:6">
      <c r="C96" s="91"/>
      <c r="D96" s="112" t="s">
        <v>923</v>
      </c>
      <c r="E96" s="4" t="s">
        <v>829</v>
      </c>
      <c r="F96" s="113" t="str">
        <f>F93</f>
        <v>هر کدام انتخاب شد- ثبات رویه</v>
      </c>
    </row>
    <row r="97" spans="3:6">
      <c r="C97" s="91"/>
      <c r="D97" s="112"/>
      <c r="E97" s="4" t="s">
        <v>817</v>
      </c>
      <c r="F97" s="113"/>
    </row>
    <row r="98" spans="3:6">
      <c r="C98" s="91"/>
      <c r="D98" s="112"/>
      <c r="E98" s="4" t="s">
        <v>927</v>
      </c>
      <c r="F98" s="113"/>
    </row>
    <row r="99" spans="3:6" ht="58.5">
      <c r="C99" s="3" t="s">
        <v>598</v>
      </c>
      <c r="D99" s="61" t="s">
        <v>928</v>
      </c>
      <c r="E99" s="62" t="s">
        <v>929</v>
      </c>
      <c r="F99" s="62" t="str">
        <f>F96</f>
        <v>هر کدام انتخاب شد- ثبات رویه</v>
      </c>
    </row>
    <row r="101" spans="3:6">
      <c r="C101" s="1" t="s">
        <v>930</v>
      </c>
    </row>
    <row r="103" spans="3:6">
      <c r="C103" s="1" t="s">
        <v>931</v>
      </c>
    </row>
    <row r="105" spans="3:6">
      <c r="C105" s="1" t="s">
        <v>932</v>
      </c>
      <c r="D105" s="1" t="s">
        <v>937</v>
      </c>
    </row>
    <row r="107" spans="3:6">
      <c r="C107" s="4" t="s">
        <v>46</v>
      </c>
      <c r="D107" s="4" t="s">
        <v>775</v>
      </c>
      <c r="E107" s="4" t="s">
        <v>924</v>
      </c>
      <c r="F107" s="1" t="s">
        <v>938</v>
      </c>
    </row>
    <row r="108" spans="3:6">
      <c r="C108" s="4" t="s">
        <v>933</v>
      </c>
      <c r="D108" s="4">
        <v>100</v>
      </c>
      <c r="E108" s="4">
        <v>130</v>
      </c>
      <c r="F108" s="1">
        <f>E108-D108</f>
        <v>30</v>
      </c>
    </row>
    <row r="109" spans="3:6">
      <c r="C109" s="4" t="s">
        <v>934</v>
      </c>
      <c r="D109" s="4">
        <v>110</v>
      </c>
      <c r="E109" s="4">
        <v>120</v>
      </c>
      <c r="F109" s="1">
        <f t="shared" ref="F109:F111" si="0">E109-D109</f>
        <v>10</v>
      </c>
    </row>
    <row r="110" spans="3:6">
      <c r="C110" s="4" t="s">
        <v>935</v>
      </c>
      <c r="D110" s="4">
        <v>90</v>
      </c>
      <c r="E110" s="4">
        <v>70</v>
      </c>
      <c r="F110" s="1">
        <f t="shared" si="0"/>
        <v>-20</v>
      </c>
    </row>
    <row r="111" spans="3:6">
      <c r="C111" s="4" t="s">
        <v>936</v>
      </c>
      <c r="D111" s="4">
        <v>200</v>
      </c>
      <c r="E111" s="4">
        <v>210</v>
      </c>
      <c r="F111" s="1">
        <f t="shared" si="0"/>
        <v>10</v>
      </c>
    </row>
    <row r="112" spans="3:6">
      <c r="D112" s="1">
        <f>SUM(D108:D111)</f>
        <v>500</v>
      </c>
      <c r="E112" s="1">
        <f>SUM(E108:E111)</f>
        <v>530</v>
      </c>
    </row>
    <row r="114" spans="3:6">
      <c r="C114" s="93" t="s">
        <v>275</v>
      </c>
      <c r="D114" s="93"/>
      <c r="E114" s="93"/>
    </row>
    <row r="115" spans="3:6">
      <c r="C115" s="4" t="s">
        <v>46</v>
      </c>
      <c r="D115" s="4" t="s">
        <v>276</v>
      </c>
      <c r="E115" s="4" t="s">
        <v>277</v>
      </c>
    </row>
    <row r="116" spans="3:6">
      <c r="C116" s="4" t="s">
        <v>933</v>
      </c>
      <c r="D116" s="4">
        <f>F108</f>
        <v>30</v>
      </c>
      <c r="E116" s="4"/>
    </row>
    <row r="117" spans="3:6">
      <c r="C117" s="4" t="s">
        <v>934</v>
      </c>
      <c r="D117" s="4">
        <v>10</v>
      </c>
      <c r="E117" s="4"/>
    </row>
    <row r="118" spans="3:6">
      <c r="C118" s="4" t="s">
        <v>936</v>
      </c>
      <c r="D118" s="4">
        <v>10</v>
      </c>
      <c r="E118" s="4"/>
    </row>
    <row r="119" spans="3:6">
      <c r="C119" s="4" t="str">
        <f>C110</f>
        <v>ج</v>
      </c>
      <c r="D119" s="4"/>
      <c r="E119" s="4">
        <f>20</f>
        <v>20</v>
      </c>
    </row>
    <row r="120" spans="3:6">
      <c r="C120" s="4" t="s">
        <v>939</v>
      </c>
      <c r="D120" s="4"/>
      <c r="E120" s="4">
        <f>D116+D117+D118-E119</f>
        <v>30</v>
      </c>
      <c r="F120" s="1" t="s">
        <v>940</v>
      </c>
    </row>
    <row r="123" spans="3:6">
      <c r="C123" s="1" t="s">
        <v>932</v>
      </c>
      <c r="D123" s="1" t="s">
        <v>941</v>
      </c>
    </row>
    <row r="125" spans="3:6">
      <c r="C125" s="4" t="s">
        <v>46</v>
      </c>
      <c r="D125" s="4" t="s">
        <v>775</v>
      </c>
      <c r="E125" s="4" t="s">
        <v>924</v>
      </c>
      <c r="F125" s="1" t="s">
        <v>938</v>
      </c>
    </row>
    <row r="126" spans="3:6">
      <c r="C126" s="4" t="s">
        <v>933</v>
      </c>
      <c r="D126" s="4">
        <v>100</v>
      </c>
      <c r="E126" s="4">
        <v>130</v>
      </c>
      <c r="F126" s="1">
        <f>E126-D126</f>
        <v>30</v>
      </c>
    </row>
    <row r="127" spans="3:6">
      <c r="C127" s="4" t="s">
        <v>934</v>
      </c>
      <c r="D127" s="4">
        <v>110</v>
      </c>
      <c r="E127" s="4">
        <v>120</v>
      </c>
      <c r="F127" s="1">
        <f t="shared" ref="F127:F129" si="1">E127-D127</f>
        <v>10</v>
      </c>
    </row>
    <row r="128" spans="3:6">
      <c r="C128" s="4" t="s">
        <v>935</v>
      </c>
      <c r="D128" s="4">
        <v>90</v>
      </c>
      <c r="E128" s="4">
        <v>20</v>
      </c>
      <c r="F128" s="1">
        <f t="shared" si="1"/>
        <v>-70</v>
      </c>
    </row>
    <row r="129" spans="3:6">
      <c r="C129" s="4" t="s">
        <v>936</v>
      </c>
      <c r="D129" s="4">
        <v>200</v>
      </c>
      <c r="E129" s="4">
        <v>210</v>
      </c>
      <c r="F129" s="1">
        <f t="shared" si="1"/>
        <v>10</v>
      </c>
    </row>
    <row r="130" spans="3:6">
      <c r="D130" s="1">
        <f>SUM(D126:D129)</f>
        <v>500</v>
      </c>
      <c r="E130" s="1">
        <f>SUM(E126:E129)</f>
        <v>480</v>
      </c>
    </row>
    <row r="132" spans="3:6">
      <c r="C132" s="93" t="s">
        <v>275</v>
      </c>
      <c r="D132" s="93"/>
      <c r="E132" s="93"/>
    </row>
    <row r="133" spans="3:6">
      <c r="C133" s="4" t="s">
        <v>46</v>
      </c>
      <c r="D133" s="4" t="s">
        <v>276</v>
      </c>
      <c r="E133" s="4" t="s">
        <v>277</v>
      </c>
    </row>
    <row r="134" spans="3:6">
      <c r="C134" s="4" t="s">
        <v>942</v>
      </c>
      <c r="D134" s="4">
        <f>20</f>
        <v>20</v>
      </c>
      <c r="E134" s="4"/>
    </row>
    <row r="135" spans="3:6">
      <c r="C135" s="4" t="s">
        <v>943</v>
      </c>
      <c r="D135" s="4"/>
      <c r="E135" s="4">
        <v>20</v>
      </c>
    </row>
    <row r="138" spans="3:6">
      <c r="C138" s="1" t="s">
        <v>932</v>
      </c>
      <c r="D138" s="1" t="s">
        <v>941</v>
      </c>
    </row>
    <row r="140" spans="3:6">
      <c r="C140" s="4" t="s">
        <v>46</v>
      </c>
      <c r="D140" s="4" t="s">
        <v>775</v>
      </c>
      <c r="E140" s="4" t="s">
        <v>924</v>
      </c>
    </row>
    <row r="141" spans="3:6">
      <c r="C141" s="4" t="s">
        <v>933</v>
      </c>
      <c r="D141" s="4">
        <v>100</v>
      </c>
      <c r="E141" s="4">
        <v>130</v>
      </c>
    </row>
    <row r="142" spans="3:6">
      <c r="C142" s="4" t="s">
        <v>934</v>
      </c>
      <c r="D142" s="4">
        <v>110</v>
      </c>
      <c r="E142" s="4">
        <v>120</v>
      </c>
    </row>
    <row r="143" spans="3:6">
      <c r="C143" s="4" t="s">
        <v>935</v>
      </c>
      <c r="D143" s="4">
        <v>90</v>
      </c>
      <c r="E143" s="4">
        <v>200</v>
      </c>
    </row>
    <row r="144" spans="3:6">
      <c r="C144" s="4" t="s">
        <v>936</v>
      </c>
      <c r="D144" s="4">
        <v>200</v>
      </c>
      <c r="E144" s="4">
        <v>210</v>
      </c>
    </row>
    <row r="145" spans="3:5">
      <c r="D145" s="1">
        <f>SUM(D141:D144)</f>
        <v>500</v>
      </c>
      <c r="E145" s="1">
        <f>SUM(E141:E144)</f>
        <v>660</v>
      </c>
    </row>
    <row r="147" spans="3:5">
      <c r="C147" s="93" t="s">
        <v>275</v>
      </c>
      <c r="D147" s="93"/>
      <c r="E147" s="93"/>
    </row>
    <row r="148" spans="3:5">
      <c r="C148" s="3" t="s">
        <v>46</v>
      </c>
      <c r="D148" s="3" t="s">
        <v>276</v>
      </c>
      <c r="E148" s="3" t="s">
        <v>277</v>
      </c>
    </row>
    <row r="149" spans="3:5">
      <c r="C149" s="3" t="s">
        <v>943</v>
      </c>
      <c r="D149" s="3">
        <v>20</v>
      </c>
      <c r="E149" s="3"/>
    </row>
    <row r="150" spans="3:5">
      <c r="C150" s="3" t="s">
        <v>944</v>
      </c>
      <c r="D150" s="3"/>
      <c r="E150" s="3">
        <f>D149</f>
        <v>20</v>
      </c>
    </row>
    <row r="153" spans="3:5">
      <c r="C153" s="1" t="s">
        <v>945</v>
      </c>
      <c r="D153" s="1" t="s">
        <v>946</v>
      </c>
    </row>
    <row r="154" spans="3:5">
      <c r="C154" s="1" t="s">
        <v>214</v>
      </c>
      <c r="D154" s="1" t="s">
        <v>947</v>
      </c>
    </row>
    <row r="155" spans="3:5">
      <c r="C155" s="1" t="s">
        <v>220</v>
      </c>
      <c r="D155" s="1" t="s">
        <v>948</v>
      </c>
    </row>
    <row r="156" spans="3:5">
      <c r="C156" s="1" t="s">
        <v>950</v>
      </c>
      <c r="D156" s="1" t="s">
        <v>949</v>
      </c>
    </row>
    <row r="157" spans="3:5">
      <c r="C157" s="1" t="s">
        <v>829</v>
      </c>
      <c r="D157" s="1" t="s">
        <v>951</v>
      </c>
    </row>
    <row r="158" spans="3:5">
      <c r="C158" s="1" t="s">
        <v>952</v>
      </c>
      <c r="D158" s="1" t="s">
        <v>953</v>
      </c>
    </row>
    <row r="161" spans="3:5">
      <c r="C161" s="1" t="s">
        <v>954</v>
      </c>
    </row>
    <row r="162" spans="3:5">
      <c r="C162" s="1" t="s">
        <v>955</v>
      </c>
      <c r="D162" s="1">
        <v>3086</v>
      </c>
    </row>
    <row r="163" spans="3:5">
      <c r="C163" s="1" t="s">
        <v>956</v>
      </c>
      <c r="D163" s="15">
        <f>D162/31.1</f>
        <v>99.228295819935681</v>
      </c>
    </row>
    <row r="164" spans="3:5">
      <c r="C164" s="1" t="s">
        <v>957</v>
      </c>
      <c r="D164" s="15">
        <f>D163/24*18</f>
        <v>74.421221864951761</v>
      </c>
    </row>
    <row r="165" spans="3:5">
      <c r="C165" s="1" t="s">
        <v>958</v>
      </c>
      <c r="D165" s="15">
        <v>1030000</v>
      </c>
    </row>
    <row r="166" spans="3:5">
      <c r="C166" s="1" t="s">
        <v>959</v>
      </c>
      <c r="D166" s="15">
        <f>D164*D165</f>
        <v>76653858.520900309</v>
      </c>
      <c r="E166" s="1" t="s">
        <v>960</v>
      </c>
    </row>
    <row r="167" spans="3:5">
      <c r="D167" s="15">
        <v>81817000</v>
      </c>
      <c r="E167" s="1" t="s">
        <v>961</v>
      </c>
    </row>
    <row r="168" spans="3:5">
      <c r="D168" s="63">
        <f>D167/D166-1</f>
        <v>6.7356576416722991E-2</v>
      </c>
    </row>
    <row r="169" spans="3:5">
      <c r="C169" s="1" t="s">
        <v>962</v>
      </c>
      <c r="D169" s="29">
        <f>D164/18*21.6</f>
        <v>89.305466237942113</v>
      </c>
    </row>
    <row r="170" spans="3:5">
      <c r="C170" s="1" t="s">
        <v>963</v>
      </c>
      <c r="D170" s="29">
        <f>D169*8.13</f>
        <v>726.05344051446946</v>
      </c>
    </row>
    <row r="171" spans="3:5">
      <c r="C171" s="1" t="s">
        <v>964</v>
      </c>
      <c r="D171" s="15">
        <f>D165*D170</f>
        <v>747835043.72990358</v>
      </c>
    </row>
    <row r="172" spans="3:5">
      <c r="D172" s="15">
        <v>1024000000</v>
      </c>
    </row>
    <row r="173" spans="3:5">
      <c r="D173" s="29">
        <f>D172/D171-1</f>
        <v>0.36928592553338446</v>
      </c>
    </row>
    <row r="176" spans="3:5">
      <c r="C176" s="1" t="s">
        <v>965</v>
      </c>
    </row>
    <row r="177" spans="2:5">
      <c r="C177" s="1" t="s">
        <v>966</v>
      </c>
      <c r="D177" s="1" t="s">
        <v>968</v>
      </c>
    </row>
    <row r="178" spans="2:5">
      <c r="C178" s="1" t="s">
        <v>967</v>
      </c>
      <c r="D178" s="1" t="s">
        <v>969</v>
      </c>
    </row>
    <row r="181" spans="2:5">
      <c r="C181" s="1" t="s">
        <v>545</v>
      </c>
      <c r="D181" s="1" t="s">
        <v>970</v>
      </c>
      <c r="E181" s="1" t="s">
        <v>220</v>
      </c>
    </row>
    <row r="182" spans="2:5">
      <c r="D182" s="1" t="s">
        <v>971</v>
      </c>
    </row>
    <row r="184" spans="2:5">
      <c r="C184" s="1" t="s">
        <v>932</v>
      </c>
    </row>
    <row r="185" spans="2:5">
      <c r="C185" s="1" t="s">
        <v>972</v>
      </c>
    </row>
    <row r="186" spans="2:5">
      <c r="C186" s="1" t="s">
        <v>973</v>
      </c>
      <c r="E186" s="1">
        <v>500000</v>
      </c>
    </row>
    <row r="187" spans="2:5">
      <c r="C187" s="24" t="s">
        <v>974</v>
      </c>
    </row>
    <row r="188" spans="2:5">
      <c r="C188" s="1" t="s">
        <v>975</v>
      </c>
    </row>
    <row r="189" spans="2:5">
      <c r="C189" s="93" t="s">
        <v>275</v>
      </c>
      <c r="D189" s="93"/>
      <c r="E189" s="93"/>
    </row>
    <row r="190" spans="2:5">
      <c r="C190" s="4" t="s">
        <v>46</v>
      </c>
      <c r="D190" s="4" t="s">
        <v>276</v>
      </c>
      <c r="E190" s="4" t="s">
        <v>277</v>
      </c>
    </row>
    <row r="191" spans="2:5">
      <c r="B191" s="1">
        <v>7000</v>
      </c>
      <c r="C191" s="4" t="s">
        <v>976</v>
      </c>
      <c r="D191" s="26">
        <f>B191*$E$186</f>
        <v>3500000000</v>
      </c>
      <c r="E191" s="4"/>
    </row>
    <row r="192" spans="2:5">
      <c r="B192" s="1">
        <v>3000</v>
      </c>
      <c r="C192" s="4" t="s">
        <v>977</v>
      </c>
      <c r="D192" s="26">
        <f t="shared" ref="D192:D193" si="2">B192*$E$186</f>
        <v>1500000000</v>
      </c>
      <c r="E192" s="4"/>
    </row>
    <row r="193" spans="2:8">
      <c r="B193" s="1">
        <v>10000</v>
      </c>
      <c r="C193" s="4" t="s">
        <v>978</v>
      </c>
      <c r="D193" s="26">
        <f t="shared" si="2"/>
        <v>5000000000</v>
      </c>
      <c r="E193" s="4"/>
    </row>
    <row r="194" spans="2:8">
      <c r="C194" s="4" t="s">
        <v>278</v>
      </c>
      <c r="D194" s="4"/>
      <c r="E194" s="27">
        <f>D191+D192+D193</f>
        <v>10000000000</v>
      </c>
    </row>
    <row r="196" spans="2:8">
      <c r="C196" s="1" t="s">
        <v>979</v>
      </c>
    </row>
    <row r="197" spans="2:8">
      <c r="C197" s="1" t="s">
        <v>980</v>
      </c>
      <c r="D197" s="1" t="s">
        <v>982</v>
      </c>
    </row>
    <row r="198" spans="2:8">
      <c r="C198" s="1" t="s">
        <v>981</v>
      </c>
      <c r="D198" s="1" t="s">
        <v>983</v>
      </c>
    </row>
    <row r="200" spans="2:8">
      <c r="C200" s="1" t="s">
        <v>980</v>
      </c>
      <c r="D200" s="1" t="s">
        <v>984</v>
      </c>
    </row>
    <row r="201" spans="2:8">
      <c r="C201" s="1" t="s">
        <v>981</v>
      </c>
      <c r="D201" s="1" t="s">
        <v>985</v>
      </c>
    </row>
    <row r="203" spans="2:8">
      <c r="C203" s="1" t="s">
        <v>46</v>
      </c>
      <c r="D203" s="1" t="s">
        <v>986</v>
      </c>
      <c r="E203" s="1" t="s">
        <v>987</v>
      </c>
      <c r="F203" s="1" t="s">
        <v>988</v>
      </c>
      <c r="G203" s="1" t="s">
        <v>991</v>
      </c>
      <c r="H203" s="1" t="s">
        <v>992</v>
      </c>
    </row>
    <row r="204" spans="2:8">
      <c r="B204" s="1">
        <v>7000</v>
      </c>
      <c r="C204" s="4" t="s">
        <v>976</v>
      </c>
      <c r="D204" s="26">
        <f>B204*$E$186</f>
        <v>3500000000</v>
      </c>
      <c r="E204" s="1">
        <v>7000</v>
      </c>
      <c r="F204" s="1" t="s">
        <v>989</v>
      </c>
      <c r="G204" s="1">
        <f>E204*600000</f>
        <v>4200000000</v>
      </c>
      <c r="H204" s="16">
        <f>G204-D204</f>
        <v>700000000</v>
      </c>
    </row>
    <row r="205" spans="2:8">
      <c r="B205" s="1">
        <v>3000</v>
      </c>
      <c r="C205" s="4" t="s">
        <v>977</v>
      </c>
      <c r="D205" s="26">
        <f t="shared" ref="D205:D206" si="3">B205*$E$186</f>
        <v>1500000000</v>
      </c>
      <c r="E205" s="1">
        <v>3000</v>
      </c>
      <c r="F205" s="1" t="s">
        <v>989</v>
      </c>
      <c r="G205" s="1">
        <f>E205*600000</f>
        <v>1800000000</v>
      </c>
      <c r="H205" s="16">
        <f>G205-D205</f>
        <v>300000000</v>
      </c>
    </row>
    <row r="206" spans="2:8">
      <c r="B206" s="1">
        <v>10000</v>
      </c>
      <c r="C206" s="4" t="s">
        <v>978</v>
      </c>
      <c r="D206" s="26">
        <f t="shared" si="3"/>
        <v>5000000000</v>
      </c>
      <c r="E206" s="1">
        <v>10000</v>
      </c>
      <c r="F206" s="1" t="s">
        <v>990</v>
      </c>
      <c r="G206" s="16">
        <f>D206</f>
        <v>5000000000</v>
      </c>
    </row>
    <row r="209" spans="3:5">
      <c r="C209" s="93" t="s">
        <v>275</v>
      </c>
      <c r="D209" s="93"/>
      <c r="E209" s="93"/>
    </row>
    <row r="210" spans="3:5">
      <c r="C210" s="3" t="s">
        <v>46</v>
      </c>
      <c r="D210" s="3" t="s">
        <v>276</v>
      </c>
      <c r="E210" s="3" t="s">
        <v>277</v>
      </c>
    </row>
    <row r="211" spans="3:5">
      <c r="C211" s="4" t="s">
        <v>976</v>
      </c>
      <c r="D211" s="27">
        <f>H204</f>
        <v>700000000</v>
      </c>
      <c r="E211" s="4"/>
    </row>
    <row r="212" spans="3:5">
      <c r="C212" s="4" t="s">
        <v>977</v>
      </c>
      <c r="D212" s="27">
        <f>H205</f>
        <v>300000000</v>
      </c>
      <c r="E212" s="4"/>
    </row>
    <row r="213" spans="3:5">
      <c r="C213" s="4" t="s">
        <v>658</v>
      </c>
      <c r="D213" s="4"/>
      <c r="E213" s="27">
        <f>D211+D212</f>
        <v>1000000000</v>
      </c>
    </row>
  </sheetData>
  <mergeCells count="13">
    <mergeCell ref="D96:D98"/>
    <mergeCell ref="F96:F98"/>
    <mergeCell ref="C93:C98"/>
    <mergeCell ref="E57:G57"/>
    <mergeCell ref="E67:G67"/>
    <mergeCell ref="E76:G76"/>
    <mergeCell ref="D93:D95"/>
    <mergeCell ref="F93:F95"/>
    <mergeCell ref="C114:E114"/>
    <mergeCell ref="C132:E132"/>
    <mergeCell ref="C147:E147"/>
    <mergeCell ref="C189:E189"/>
    <mergeCell ref="C209:E209"/>
  </mergeCells>
  <pageMargins left="0.7" right="0.7" top="0.75" bottom="0.75" header="0.3" footer="0.3"/>
  <pageSetup orientation="portrait" r:id="rId1"/>
  <headerFooter>
    <oddFooter>&amp;C&amp;"B Zar,Bold"&amp;14&amp;P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3</vt:i4>
      </vt:variant>
    </vt:vector>
  </HeadingPairs>
  <TitlesOfParts>
    <vt:vector size="22" baseType="lpstr">
      <vt:lpstr>01</vt:lpstr>
      <vt:lpstr>02</vt:lpstr>
      <vt:lpstr>03</vt:lpstr>
      <vt:lpstr>04</vt:lpstr>
      <vt:lpstr>05</vt:lpstr>
      <vt:lpstr>06</vt:lpstr>
      <vt:lpstr>kham</vt:lpstr>
      <vt:lpstr>اهمیت</vt:lpstr>
      <vt:lpstr>07</vt:lpstr>
      <vt:lpstr>08</vt:lpstr>
      <vt:lpstr>کاردکس</vt:lpstr>
      <vt:lpstr>کاردکس کالا</vt:lpstr>
      <vt:lpstr>09</vt:lpstr>
      <vt:lpstr>10</vt:lpstr>
      <vt:lpstr>11</vt:lpstr>
      <vt:lpstr>تحلیل جریان های نقد</vt:lpstr>
      <vt:lpstr>12</vt:lpstr>
      <vt:lpstr>13</vt:lpstr>
      <vt:lpstr>14</vt:lpstr>
      <vt:lpstr>'01'!Print_Titles</vt:lpstr>
      <vt:lpstr>'02'!Print_Titles</vt:lpstr>
      <vt:lpstr>'03'!Print_Titles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Mahdi Moghadasi</dc:creator>
  <cp:lastModifiedBy>Mahdi Moghadasi</cp:lastModifiedBy>
  <cp:lastPrinted>2025-04-01T09:18:20Z</cp:lastPrinted>
  <dcterms:created xsi:type="dcterms:W3CDTF">2025-03-21T19:37:22Z</dcterms:created>
  <dcterms:modified xsi:type="dcterms:W3CDTF">2026-07-05T08:35:35Z</dcterms:modified>
</cp:coreProperties>
</file>