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filterPrivacy="1" defaultThemeVersion="124226"/>
  <xr:revisionPtr revIDLastSave="0" documentId="13_ncr:1_{D22F1E74-2992-472F-8482-A041AD6FC764}" xr6:coauthVersionLast="47" xr6:coauthVersionMax="47" xr10:uidLastSave="{00000000-0000-0000-0000-000000000000}"/>
  <bookViews>
    <workbookView xWindow="-120" yWindow="-120" windowWidth="29040" windowHeight="15720" tabRatio="598" activeTab="3" xr2:uid="{00000000-000D-0000-FFFF-FFFF00000000}"/>
  </bookViews>
  <sheets>
    <sheet name="حکم پرسنلی" sheetId="1" r:id="rId1"/>
    <sheet name="کارکرد فروردین" sheetId="2" r:id="rId2"/>
    <sheet name="فیش حقوقی" sheetId="3" r:id="rId3"/>
    <sheet name="ارایه" sheetId="6" r:id="rId4"/>
    <sheet name="فروردین تفکیکی" sheetId="5" r:id="rId5"/>
    <sheet name="Sheet1" sheetId="4" state="hidden" r:id="rId6"/>
  </sheets>
  <externalReferences>
    <externalReference r:id="rId7"/>
  </externalReferences>
  <definedNames>
    <definedName name="_xlnm.Database">'حکم پرسنلی'!$A$5:$Q$9</definedName>
    <definedName name="karkard" localSheetId="4">'فروردین تفکیکی'!$A$6:$Z$10</definedName>
    <definedName name="karkard">'کارکرد فروردین'!$A$6:$W$10</definedName>
    <definedName name="sarsoton">'حکم پرسنلی'!$A$5:$Q$5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6" l="1"/>
  <c r="C16" i="3"/>
  <c r="C15" i="3"/>
  <c r="C14" i="3"/>
  <c r="C13" i="3"/>
  <c r="C12" i="3"/>
  <c r="C11" i="3"/>
  <c r="C10" i="3"/>
  <c r="C9" i="3"/>
  <c r="P8" i="5"/>
  <c r="P9" i="5"/>
  <c r="P10" i="5"/>
  <c r="P7" i="5"/>
  <c r="P11" i="5" s="1"/>
  <c r="V24" i="5" s="1"/>
  <c r="N7" i="5"/>
  <c r="F8" i="5"/>
  <c r="F9" i="5"/>
  <c r="F10" i="5"/>
  <c r="F7" i="5"/>
  <c r="E8" i="5"/>
  <c r="E9" i="5"/>
  <c r="E10" i="5"/>
  <c r="E7" i="5"/>
  <c r="D8" i="5"/>
  <c r="D9" i="5"/>
  <c r="D10" i="5"/>
  <c r="D7" i="5"/>
  <c r="L19" i="5"/>
  <c r="L18" i="5"/>
  <c r="L17" i="5"/>
  <c r="L16" i="5"/>
  <c r="K7" i="5"/>
  <c r="K8" i="5"/>
  <c r="K9" i="5"/>
  <c r="K10" i="5"/>
  <c r="L7" i="5"/>
  <c r="L8" i="5"/>
  <c r="L9" i="5"/>
  <c r="L10" i="5"/>
  <c r="P30" i="5"/>
  <c r="P29" i="5"/>
  <c r="P28" i="5"/>
  <c r="P27" i="5"/>
  <c r="P26" i="5"/>
  <c r="P25" i="5"/>
  <c r="Q25" i="5" s="1"/>
  <c r="Q26" i="5" s="1"/>
  <c r="Q27" i="5" s="1"/>
  <c r="Q28" i="5" s="1"/>
  <c r="Q29" i="5" s="1"/>
  <c r="Q30" i="5" s="1"/>
  <c r="U21" i="5"/>
  <c r="P20" i="5"/>
  <c r="P19" i="5"/>
  <c r="P18" i="5"/>
  <c r="P17" i="5"/>
  <c r="P16" i="5"/>
  <c r="P15" i="5"/>
  <c r="Q15" i="5" s="1"/>
  <c r="Q16" i="5" s="1"/>
  <c r="Q17" i="5" s="1"/>
  <c r="Q18" i="5" s="1"/>
  <c r="Q19" i="5" s="1"/>
  <c r="Q20" i="5" s="1"/>
  <c r="I15" i="5"/>
  <c r="F15" i="5"/>
  <c r="S14" i="5"/>
  <c r="S15" i="5" s="1"/>
  <c r="S16" i="5" s="1"/>
  <c r="I10" i="5"/>
  <c r="J10" i="5" s="1"/>
  <c r="B10" i="5"/>
  <c r="I9" i="5"/>
  <c r="J9" i="5" s="1"/>
  <c r="B9" i="5"/>
  <c r="I8" i="5"/>
  <c r="J8" i="5" s="1"/>
  <c r="B8" i="5"/>
  <c r="I7" i="5"/>
  <c r="J7" i="5" s="1"/>
  <c r="B7" i="5"/>
  <c r="B4" i="5"/>
  <c r="A1" i="5"/>
  <c r="F15" i="2"/>
  <c r="N6" i="1" a="1"/>
  <c r="Q7" i="5" l="1"/>
  <c r="N6" i="1"/>
  <c r="O6" i="1" s="1"/>
  <c r="G9" i="5"/>
  <c r="H9" i="5" s="1"/>
  <c r="N9" i="5" s="1"/>
  <c r="Q9" i="5" s="1"/>
  <c r="R9" i="5" s="1"/>
  <c r="S9" i="5" s="1"/>
  <c r="G8" i="5"/>
  <c r="H8" i="5" s="1"/>
  <c r="N8" i="5" s="1"/>
  <c r="F11" i="5"/>
  <c r="V19" i="5" s="1"/>
  <c r="G10" i="5"/>
  <c r="H10" i="5" s="1"/>
  <c r="N10" i="5" s="1"/>
  <c r="Q10" i="5" s="1"/>
  <c r="E11" i="5"/>
  <c r="V18" i="5" s="1"/>
  <c r="D11" i="5"/>
  <c r="V17" i="5" s="1"/>
  <c r="K11" i="5"/>
  <c r="V21" i="5" s="1"/>
  <c r="L11" i="5"/>
  <c r="V22" i="5" s="1"/>
  <c r="G7" i="5"/>
  <c r="M35" i="1"/>
  <c r="I29" i="1"/>
  <c r="I30" i="1"/>
  <c r="I31" i="1"/>
  <c r="I28" i="1"/>
  <c r="L30" i="1"/>
  <c r="L29" i="1"/>
  <c r="K29" i="1"/>
  <c r="K30" i="1"/>
  <c r="K31" i="1"/>
  <c r="K28" i="1"/>
  <c r="J29" i="1"/>
  <c r="J30" i="1"/>
  <c r="J31" i="1"/>
  <c r="J28" i="1"/>
  <c r="K23" i="1"/>
  <c r="P20" i="2"/>
  <c r="P19" i="2"/>
  <c r="P18" i="2"/>
  <c r="P17" i="2"/>
  <c r="P16" i="2"/>
  <c r="P15" i="2"/>
  <c r="Q15" i="2" s="1"/>
  <c r="P30" i="2"/>
  <c r="P29" i="2"/>
  <c r="P28" i="2"/>
  <c r="P27" i="2"/>
  <c r="P26" i="2"/>
  <c r="P25" i="2"/>
  <c r="Q25" i="2" s="1"/>
  <c r="Q26" i="2" s="1"/>
  <c r="Q27" i="2" s="1"/>
  <c r="Q28" i="2" s="1"/>
  <c r="Q29" i="2" s="1"/>
  <c r="Q30" i="2" s="1"/>
  <c r="Q8" i="5" l="1"/>
  <c r="R8" i="5" s="1"/>
  <c r="S8" i="5" s="1"/>
  <c r="T8" i="5" s="1"/>
  <c r="V8" i="5" s="1"/>
  <c r="T9" i="5"/>
  <c r="J11" i="5"/>
  <c r="V20" i="5" s="1"/>
  <c r="H7" i="5"/>
  <c r="G11" i="5"/>
  <c r="R10" i="5"/>
  <c r="S10" i="5" s="1"/>
  <c r="T10" i="5" s="1"/>
  <c r="V10" i="5" s="1"/>
  <c r="Q16" i="2"/>
  <c r="Q17" i="2" s="1"/>
  <c r="Q18" i="2" s="1"/>
  <c r="Q19" i="2" s="1"/>
  <c r="Q20" i="2"/>
  <c r="V9" i="5" l="1"/>
  <c r="W9" i="5" s="1"/>
  <c r="W10" i="5"/>
  <c r="W8" i="5"/>
  <c r="U9" i="5"/>
  <c r="H11" i="5"/>
  <c r="S14" i="2"/>
  <c r="I15" i="2"/>
  <c r="I22" i="1"/>
  <c r="E7" i="1"/>
  <c r="E8" i="1"/>
  <c r="E9" i="1"/>
  <c r="E10" i="2" s="1"/>
  <c r="E6" i="1"/>
  <c r="D7" i="1"/>
  <c r="D8" i="2" s="1"/>
  <c r="D8" i="1"/>
  <c r="D9" i="1"/>
  <c r="D10" i="2" s="1"/>
  <c r="D6" i="1"/>
  <c r="D7" i="2" s="1"/>
  <c r="F24" i="1"/>
  <c r="M29" i="1"/>
  <c r="F7" i="1" s="1"/>
  <c r="F8" i="2" s="1"/>
  <c r="M30" i="1"/>
  <c r="F8" i="1" s="1"/>
  <c r="F9" i="2" s="1"/>
  <c r="M31" i="1"/>
  <c r="F9" i="1" s="1"/>
  <c r="F10" i="2" s="1"/>
  <c r="M28" i="1"/>
  <c r="F6" i="1" s="1"/>
  <c r="F7" i="2" s="1"/>
  <c r="F31" i="1"/>
  <c r="H31" i="1" s="1"/>
  <c r="F28" i="1"/>
  <c r="H28" i="1" s="1"/>
  <c r="K27" i="1"/>
  <c r="J27" i="1"/>
  <c r="I27" i="1"/>
  <c r="H29" i="1"/>
  <c r="H30" i="1"/>
  <c r="F30" i="1"/>
  <c r="F29" i="1"/>
  <c r="D30" i="1"/>
  <c r="E30" i="1" s="1"/>
  <c r="D29" i="1"/>
  <c r="E29" i="1" s="1"/>
  <c r="E28" i="1"/>
  <c r="D28" i="1"/>
  <c r="H25" i="1"/>
  <c r="H22" i="1"/>
  <c r="E22" i="1"/>
  <c r="A1" i="3"/>
  <c r="K8" i="2"/>
  <c r="K9" i="2"/>
  <c r="K10" i="2"/>
  <c r="K7" i="2"/>
  <c r="I8" i="2"/>
  <c r="I9" i="2"/>
  <c r="I10" i="2"/>
  <c r="I7" i="2"/>
  <c r="D9" i="2"/>
  <c r="A1" i="2"/>
  <c r="L8" i="2"/>
  <c r="L9" i="2"/>
  <c r="L10" i="2"/>
  <c r="L7" i="2"/>
  <c r="N9" i="1" a="1"/>
  <c r="N7" i="1" a="1"/>
  <c r="N8" i="1" a="1"/>
  <c r="X9" i="5" l="1"/>
  <c r="Y9" i="5" s="1"/>
  <c r="Z9" i="5" s="1"/>
  <c r="U8" i="5"/>
  <c r="U10" i="5"/>
  <c r="N11" i="5"/>
  <c r="V23" i="5" s="1"/>
  <c r="N9" i="1"/>
  <c r="N8" i="1"/>
  <c r="N7" i="1"/>
  <c r="G10" i="2"/>
  <c r="Y7" i="2"/>
  <c r="X8" i="5" l="1"/>
  <c r="X10" i="5"/>
  <c r="Y10" i="5" s="1"/>
  <c r="Z10" i="5" s="1"/>
  <c r="R7" i="5"/>
  <c r="S7" i="5" s="1"/>
  <c r="T7" i="5" s="1"/>
  <c r="V7" i="5" s="1"/>
  <c r="Q11" i="5"/>
  <c r="Y8" i="2"/>
  <c r="Y9" i="2"/>
  <c r="Y10" i="2"/>
  <c r="U21" i="2"/>
  <c r="K11" i="2"/>
  <c r="V21" i="2" s="1"/>
  <c r="Y8" i="5" l="1"/>
  <c r="Z8" i="5" s="1"/>
  <c r="R11" i="5"/>
  <c r="V25" i="5" s="1"/>
  <c r="V29" i="5" s="1"/>
  <c r="G6" i="4"/>
  <c r="D10" i="3"/>
  <c r="D9" i="3"/>
  <c r="J7" i="2"/>
  <c r="S15" i="2"/>
  <c r="S16" i="2" s="1"/>
  <c r="H10" i="2"/>
  <c r="B10" i="2"/>
  <c r="B9" i="2"/>
  <c r="B8" i="2"/>
  <c r="B7" i="2"/>
  <c r="B4" i="2"/>
  <c r="H9" i="1"/>
  <c r="O9" i="1" s="1"/>
  <c r="E9" i="2"/>
  <c r="K3" i="1"/>
  <c r="G9" i="2" l="1"/>
  <c r="H9" i="2" s="1"/>
  <c r="N9" i="2" s="1"/>
  <c r="S11" i="5"/>
  <c r="W27" i="5" s="1"/>
  <c r="B5" i="3"/>
  <c r="N10" i="2"/>
  <c r="P10" i="2"/>
  <c r="P9" i="1"/>
  <c r="Q9" i="1" s="1"/>
  <c r="E7" i="2"/>
  <c r="G7" i="2" s="1"/>
  <c r="H7" i="2" s="1"/>
  <c r="N7" i="2" s="1"/>
  <c r="Q7" i="2" s="1"/>
  <c r="J9" i="1"/>
  <c r="J8" i="2"/>
  <c r="J9" i="2"/>
  <c r="J10" i="2"/>
  <c r="E8" i="2"/>
  <c r="H8" i="1"/>
  <c r="O8" i="1" s="1"/>
  <c r="F11" i="2"/>
  <c r="V19" i="2" s="1"/>
  <c r="L11" i="2"/>
  <c r="V22" i="2" s="1"/>
  <c r="D11" i="2"/>
  <c r="V17" i="2" s="1"/>
  <c r="W7" i="5" l="1"/>
  <c r="W11" i="5" s="1"/>
  <c r="T11" i="5"/>
  <c r="U7" i="5"/>
  <c r="G8" i="2"/>
  <c r="H8" i="2" s="1"/>
  <c r="J11" i="2"/>
  <c r="V20" i="2" s="1"/>
  <c r="Q10" i="2"/>
  <c r="P9" i="2"/>
  <c r="Q9" i="2" s="1"/>
  <c r="P8" i="1"/>
  <c r="Q8" i="1" s="1"/>
  <c r="J8" i="1"/>
  <c r="H7" i="1"/>
  <c r="O7" i="1" s="1"/>
  <c r="H6" i="1"/>
  <c r="V11" i="5" l="1"/>
  <c r="X7" i="5"/>
  <c r="Y7" i="5" s="1"/>
  <c r="U11" i="5"/>
  <c r="P7" i="2"/>
  <c r="R7" i="2" s="1"/>
  <c r="S7" i="2" s="1"/>
  <c r="T7" i="2" s="1"/>
  <c r="U7" i="2" s="1"/>
  <c r="R9" i="2"/>
  <c r="S9" i="2" s="1"/>
  <c r="R10" i="2"/>
  <c r="S10" i="2" s="1"/>
  <c r="T10" i="2" s="1"/>
  <c r="U10" i="2" s="1"/>
  <c r="P6" i="1"/>
  <c r="Q6" i="1" s="1"/>
  <c r="J6" i="1"/>
  <c r="E11" i="2"/>
  <c r="V18" i="2" s="1"/>
  <c r="N8" i="2"/>
  <c r="P8" i="2"/>
  <c r="P7" i="1"/>
  <c r="Q7" i="1" s="1"/>
  <c r="J7" i="1"/>
  <c r="T9" i="2" l="1"/>
  <c r="U9" i="2" s="1"/>
  <c r="F10" i="3" s="1"/>
  <c r="F9" i="3"/>
  <c r="X11" i="5"/>
  <c r="W26" i="5" s="1"/>
  <c r="Y11" i="5"/>
  <c r="Z7" i="5"/>
  <c r="Z11" i="5" s="1"/>
  <c r="W28" i="5" s="1"/>
  <c r="V7" i="2"/>
  <c r="W7" i="2" s="1"/>
  <c r="O10" i="1"/>
  <c r="V9" i="2"/>
  <c r="W9" i="2" s="1"/>
  <c r="V10" i="2"/>
  <c r="W10" i="2" s="1"/>
  <c r="Q8" i="2"/>
  <c r="R8" i="2" s="1"/>
  <c r="S8" i="2" s="1"/>
  <c r="C17" i="3"/>
  <c r="G11" i="2"/>
  <c r="F7" i="4"/>
  <c r="G11" i="4" s="1"/>
  <c r="P11" i="2"/>
  <c r="V24" i="2" s="1"/>
  <c r="W29" i="5" l="1"/>
  <c r="W30" i="5" s="1"/>
  <c r="T8" i="2"/>
  <c r="U8" i="2" s="1"/>
  <c r="H11" i="2"/>
  <c r="F3" i="4"/>
  <c r="F5" i="4" s="1"/>
  <c r="V8" i="2" l="1"/>
  <c r="W8" i="2" s="1"/>
  <c r="F17" i="3"/>
  <c r="B18" i="3" s="1"/>
  <c r="F8" i="4"/>
  <c r="G9" i="4" s="1"/>
  <c r="G5" i="4"/>
  <c r="H5" i="4" s="1"/>
  <c r="N11" i="2"/>
  <c r="V23" i="2" s="1"/>
  <c r="B19" i="3" a="1"/>
  <c r="B19" i="3" l="1"/>
  <c r="Q11" i="2"/>
  <c r="B1" i="4"/>
  <c r="R11" i="2" l="1"/>
  <c r="V25" i="2" s="1"/>
  <c r="B2" i="4"/>
  <c r="B4" i="4" s="1"/>
  <c r="B5" i="4" s="1"/>
  <c r="S11" i="2" l="1"/>
  <c r="T11" i="2" l="1"/>
  <c r="W27" i="2"/>
  <c r="V29" i="2"/>
  <c r="U11" i="2" l="1"/>
  <c r="W26" i="2" s="1"/>
  <c r="W11" i="2" l="1"/>
  <c r="W28" i="2" s="1"/>
  <c r="W29" i="2" s="1"/>
  <c r="W30" i="2" s="1"/>
  <c r="V11"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<sst xmlns="http://schemas.openxmlformats.org/spreadsheetml/2006/main" count="224" uniqueCount="103">
  <si>
    <t>شرکت نمونه ( با مسئولیت محدود )</t>
  </si>
  <si>
    <t>موضوع : اطلاعات احکام پرسنلی</t>
  </si>
  <si>
    <t>تهیه کننده : خودتان</t>
  </si>
  <si>
    <t>بررسی کننده :مقدسی</t>
  </si>
  <si>
    <t>شماره پرسنلی</t>
  </si>
  <si>
    <t>نام و نام خانوادگی</t>
  </si>
  <si>
    <t xml:space="preserve">میلغ حقوق </t>
  </si>
  <si>
    <t>حق جذب</t>
  </si>
  <si>
    <t>پایه سنوات</t>
  </si>
  <si>
    <t>حق اولاد</t>
  </si>
  <si>
    <t>تعداداولاد</t>
  </si>
  <si>
    <t>حق خواروبار  و مسکن</t>
  </si>
  <si>
    <t>علی پور گنجی</t>
  </si>
  <si>
    <t>حسین فنایان</t>
  </si>
  <si>
    <t>تعداد روز کارکرد</t>
  </si>
  <si>
    <t>مبنای حق اولاد</t>
  </si>
  <si>
    <t>حق ماموریت</t>
  </si>
  <si>
    <t>تعداد روز ماموریت</t>
  </si>
  <si>
    <t>تاریخ استخدام</t>
  </si>
  <si>
    <t>اضافه کار ساعت</t>
  </si>
  <si>
    <t>تعداد روز کارکرد از ابتدا</t>
  </si>
  <si>
    <t>حقوق و مزایای به تبع شغل</t>
  </si>
  <si>
    <t>مبلغ اضافه کار</t>
  </si>
  <si>
    <t>جمع حقوق و مزایا</t>
  </si>
  <si>
    <t>حقوق و مزایای مشمول بیمه</t>
  </si>
  <si>
    <t>بیمه سهم کارمند</t>
  </si>
  <si>
    <t>حقوق و مزایای مشمول مالیات</t>
  </si>
  <si>
    <t>مالیات</t>
  </si>
  <si>
    <t>قابل پرداخت</t>
  </si>
  <si>
    <t>حداقل حقوق روزانه</t>
  </si>
  <si>
    <t>7 برابر</t>
  </si>
  <si>
    <t>سند حسابداری</t>
  </si>
  <si>
    <t>نام حساب</t>
  </si>
  <si>
    <t>بدهکار</t>
  </si>
  <si>
    <t>بستانکار</t>
  </si>
  <si>
    <t>سهم بیمه کارفرما</t>
  </si>
  <si>
    <t>مالیات پرداختنی</t>
  </si>
  <si>
    <t>بیمه پرداختنی</t>
  </si>
  <si>
    <t>حقوق پرداختنی</t>
  </si>
  <si>
    <t>فیش حقوقی</t>
  </si>
  <si>
    <t>اطلاعات کارمند</t>
  </si>
  <si>
    <t>اطلاعات مربوط به حقوق</t>
  </si>
  <si>
    <t>مزایا</t>
  </si>
  <si>
    <t>کسورات قانونی</t>
  </si>
  <si>
    <t>قابل پرداخت به حروف</t>
  </si>
  <si>
    <t>جمع مزایا</t>
  </si>
  <si>
    <t>جمع کسورات</t>
  </si>
  <si>
    <t>مزایای پایان خدمت</t>
  </si>
  <si>
    <t>سه و یک  روزه حداکثر حقوق مشمول بیمه</t>
  </si>
  <si>
    <t>جمع حقوق و مزایای به تبع شغل</t>
  </si>
  <si>
    <t>از</t>
  </si>
  <si>
    <t>تا</t>
  </si>
  <si>
    <t>نرخ</t>
  </si>
  <si>
    <t>مالیات طبقه</t>
  </si>
  <si>
    <t>حقوق روزانه</t>
  </si>
  <si>
    <t>جمع مشمول و غیر مشمول</t>
  </si>
  <si>
    <t>جمع درامد مشمول بیمه</t>
  </si>
  <si>
    <t>خواروبار</t>
  </si>
  <si>
    <t>جمع حقوق ماهانه مشمول</t>
  </si>
  <si>
    <t>دستمزد روانه</t>
  </si>
  <si>
    <t>جمع ماهانه</t>
  </si>
  <si>
    <t>خواروبار و مسکن</t>
  </si>
  <si>
    <t>جمع مشمول بیمه</t>
  </si>
  <si>
    <t>اضافه کار</t>
  </si>
  <si>
    <t>جدول مالیات- ماهانه</t>
  </si>
  <si>
    <t>سقف عیدی</t>
  </si>
  <si>
    <t>عیدی مشمول مالیات</t>
  </si>
  <si>
    <t>مریم جوهری</t>
  </si>
  <si>
    <t>محمد فیاض یخش</t>
  </si>
  <si>
    <t>هم سهم کارمند هم سهم کارفرما</t>
  </si>
  <si>
    <t>تعدا ساعت شبکاری</t>
  </si>
  <si>
    <t>مبلغ شبکاری</t>
  </si>
  <si>
    <t>1402/02/01</t>
  </si>
  <si>
    <t>1402/01/01</t>
  </si>
  <si>
    <t>1402/08/30</t>
  </si>
  <si>
    <t>فروردین 1403</t>
  </si>
  <si>
    <t>حق تاهل</t>
  </si>
  <si>
    <t>جمع کسور قانونی</t>
  </si>
  <si>
    <t>مزایای مشمول مستمر</t>
  </si>
  <si>
    <t>آکادمی آموزش تخصصی</t>
  </si>
  <si>
    <t>1403/12/30</t>
  </si>
  <si>
    <t> از اول سال ۱۴۰۴ حداقل مزد روزانه با نرخ یکسان برای کلیه کارگران مشمول قانون کار (اعم از قرارداد کار دائم یا موقت) مبلغ روزانه ۳.۴۶۳.۶۵۶ ریال (سه میلیون و چهارصد و شصت و سه هزار و ششصد و پنجاه و شش ریال) تعیین می‌گردد. همچنین از اول سال ۱۴۰۴ (سایر سطوح مزدی نیز روزانه ۳۲ درصد مزد ثابت یا مزد مبنا (موضوع ماده ۳۶ قانون کار) به اضافه روزانه ۳۱۰۵۳۵ ریال به‌نسبت آخرین مزد در سال ۱۴۰۳ افزایش می‌یابد.</t>
  </si>
  <si>
    <t>مزد برای سال 1403</t>
  </si>
  <si>
    <t>افزایش درصدی</t>
  </si>
  <si>
    <t>مزد بعد از افزایش درصدی</t>
  </si>
  <si>
    <t>عدد ثابت</t>
  </si>
  <si>
    <t>مزد 1404 طبق افزایش قانونی</t>
  </si>
  <si>
    <t>پایه سنوات 1404</t>
  </si>
  <si>
    <t>موضوع : کاربرگ محاسبه هزینه حقوق فروردین ماه 1404</t>
  </si>
  <si>
    <t>تاریخ تهیه : 1404/01/31</t>
  </si>
  <si>
    <t>ماهانه</t>
  </si>
  <si>
    <t>مالیات تجمعی</t>
  </si>
  <si>
    <t>سال 1403</t>
  </si>
  <si>
    <t>سال 1404</t>
  </si>
  <si>
    <t>حقوق و مزایای مشمول مالیات پلکانی</t>
  </si>
  <si>
    <t>مالیات پلکانی</t>
  </si>
  <si>
    <t>مشمول مالیات 10 درصدی</t>
  </si>
  <si>
    <t>مالیات 10 درصدی</t>
  </si>
  <si>
    <t>جمع  مالیات</t>
  </si>
  <si>
    <t>به چی نگاه کنم و جستجو رو شروع کنم ؟</t>
  </si>
  <si>
    <t>کجا دنبالش بگردم؟</t>
  </si>
  <si>
    <t>مقدار کدام ستون را بیارم ؟</t>
  </si>
  <si>
    <t>mmbacademy.ir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</si>
</sst>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_-* #,##0.00_-;_-* #,##0.00\-;_-* &quot;-&quot;??_-;_-@_-"/>
    <numFmt numFmtId="166" formatCode="_-* #\,##0.00_-;_-* #\,##0.00\-;_-* &quot;-&quot;??_-;_-@_-"/>
    <numFmt numFmtId="167" formatCode="_-* #,##0_-;_-* #,##0\-;_-* &quot;-&quot;??_-;_-@_-"/>
  </numFmts>
  <fonts count="7" x14ac:knownFonts="1">
    <font>
      <sz val="11"/>
      <color theme="1"/>
      <name val="Calibri"/>
      <family val="2"/>
      <scheme val="minor"/>
    </font>
    <font>
      <sz val="11"/>
      <color theme="1"/>
      <name val="Calibri"/>
      <family val="2"/>
      <scheme val="minor"/>
    </font>
    <font>
      <sz val="11"/>
      <color theme="1"/>
      <name val="B Nazanin"/>
      <charset val="178"/>
    </font>
    <font>
      <b/>
      <sz val="11"/>
      <color theme="1"/>
      <name val="B Nazanin"/>
      <charset val="178"/>
    </font>
    <font>
      <sz val="11"/>
      <color rgb="FFFF0000"/>
      <name val="B Nazanin"/>
      <charset val="178"/>
    </font>
    <font>
      <u/>
      <sz val="11"/>
      <color theme="10"/>
      <name val="Calibri"/>
      <family val="2"/>
      <scheme val="minor"/>
    </font>
    <font>
      <sz val="11"/>
      <color theme="1"/>
      <name val="B Zar"/>
      <charset val="178"/>
    </font>
  </fonts>
  <fills count="10">
    <fill>
      <patternFill patternType="none"/>
    </fill>
    <fill>
      <patternFill patternType="gray125"/>
    </fill>
    <fill>
      <patternFill patternType="solid">
        <fgColor rgb="FFFFFF00"/>
        <bgColor indexed="64"/>
      </patternFill>
    </fill>
    <fill>
      <patternFill patternType="solid">
        <fgColor theme="3" tint="0.39997558519241921"/>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39997558519241921"/>
        <bgColor indexed="64"/>
      </patternFill>
    </fill>
  </fills>
  <borders count="36">
    <border>
      <left/>
      <right/>
      <top/>
      <bottom/>
      <diagonal/>
    </border>
    <border>
      <left style="thin">
        <color auto="1"/>
      </left>
      <right style="thin">
        <color auto="1"/>
      </right>
      <top style="thin">
        <color auto="1"/>
      </top>
      <bottom style="thin">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auto="1"/>
      </left>
      <right style="hair">
        <color auto="1"/>
      </right>
      <top/>
      <bottom/>
      <diagonal/>
    </border>
    <border>
      <left style="hair">
        <color auto="1"/>
      </left>
      <right style="thin">
        <color auto="1"/>
      </right>
      <top/>
      <bottom/>
      <diagonal/>
    </border>
    <border>
      <left style="hair">
        <color auto="1"/>
      </left>
      <right style="thin">
        <color auto="1"/>
      </right>
      <top style="hair">
        <color auto="1"/>
      </top>
      <bottom/>
      <diagonal/>
    </border>
    <border>
      <left style="thin">
        <color auto="1"/>
      </left>
      <right style="thin">
        <color auto="1"/>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165"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cellStyleXfs>
  <cellXfs count="119">
    <xf numFmtId="0" fontId="0" fillId="0" borderId="0" xfId="0"/>
    <xf numFmtId="0" fontId="2" fillId="0" borderId="0" xfId="0" applyFont="1"/>
    <xf numFmtId="0" fontId="3" fillId="0" borderId="0" xfId="0" applyFont="1"/>
    <xf numFmtId="0" fontId="2" fillId="0" borderId="2" xfId="0" applyFont="1" applyBorder="1"/>
    <xf numFmtId="0" fontId="2" fillId="0" borderId="3" xfId="0" applyFont="1" applyBorder="1"/>
    <xf numFmtId="164" fontId="2" fillId="0" borderId="3" xfId="1" applyFont="1" applyBorder="1"/>
    <xf numFmtId="164" fontId="2" fillId="0" borderId="3" xfId="1" applyFont="1" applyBorder="1" applyAlignment="1">
      <alignment horizontal="center"/>
    </xf>
    <xf numFmtId="0" fontId="2" fillId="0" borderId="5" xfId="0" applyFont="1" applyBorder="1"/>
    <xf numFmtId="0" fontId="2" fillId="0" borderId="6" xfId="0" applyFont="1" applyBorder="1"/>
    <xf numFmtId="164" fontId="2" fillId="0" borderId="6" xfId="1" applyFont="1" applyBorder="1"/>
    <xf numFmtId="164" fontId="2" fillId="0" borderId="6" xfId="1" applyFont="1" applyBorder="1" applyAlignment="1">
      <alignment horizontal="center"/>
    </xf>
    <xf numFmtId="164" fontId="2" fillId="0" borderId="7" xfId="1" applyFont="1" applyBorder="1"/>
    <xf numFmtId="0" fontId="2" fillId="0" borderId="1" xfId="0" applyFont="1" applyBorder="1" applyAlignment="1">
      <alignment horizontal="center" vertical="center" wrapText="1"/>
    </xf>
    <xf numFmtId="164" fontId="2" fillId="0" borderId="7" xfId="1" applyFont="1" applyBorder="1" applyAlignment="1">
      <alignment horizontal="center"/>
    </xf>
    <xf numFmtId="164" fontId="2" fillId="0" borderId="4" xfId="1" applyFont="1" applyBorder="1" applyAlignment="1">
      <alignment horizontal="center"/>
    </xf>
    <xf numFmtId="164" fontId="2" fillId="2" borderId="6" xfId="1" applyFont="1" applyFill="1" applyBorder="1"/>
    <xf numFmtId="167" fontId="2" fillId="0" borderId="7" xfId="2" applyNumberFormat="1" applyFont="1" applyBorder="1" applyAlignment="1">
      <alignment horizontal="center"/>
    </xf>
    <xf numFmtId="164" fontId="2" fillId="0" borderId="0" xfId="0" applyNumberFormat="1" applyFont="1"/>
    <xf numFmtId="166" fontId="2" fillId="0" borderId="0" xfId="0" applyNumberFormat="1" applyFont="1"/>
    <xf numFmtId="167" fontId="2" fillId="0" borderId="1" xfId="2" applyNumberFormat="1" applyFont="1" applyBorder="1"/>
    <xf numFmtId="164" fontId="2" fillId="0" borderId="1" xfId="1" applyFont="1" applyBorder="1"/>
    <xf numFmtId="167" fontId="2" fillId="0" borderId="1" xfId="0" applyNumberFormat="1" applyFont="1" applyBorder="1"/>
    <xf numFmtId="165" fontId="2" fillId="0" borderId="0" xfId="0" applyNumberFormat="1" applyFont="1"/>
    <xf numFmtId="167" fontId="2" fillId="0" borderId="0" xfId="0" applyNumberFormat="1" applyFont="1"/>
    <xf numFmtId="0" fontId="2" fillId="0" borderId="1" xfId="0" applyFont="1" applyBorder="1"/>
    <xf numFmtId="164" fontId="3" fillId="3" borderId="1" xfId="0" applyNumberFormat="1" applyFont="1" applyFill="1" applyBorder="1" applyAlignment="1">
      <alignment vertical="center"/>
    </xf>
    <xf numFmtId="165" fontId="3" fillId="3" borderId="1" xfId="0" applyNumberFormat="1" applyFont="1" applyFill="1" applyBorder="1" applyAlignment="1">
      <alignment vertical="center"/>
    </xf>
    <xf numFmtId="0" fontId="3" fillId="3" borderId="1" xfId="0" applyFont="1" applyFill="1" applyBorder="1" applyAlignment="1">
      <alignment vertical="center"/>
    </xf>
    <xf numFmtId="0" fontId="2" fillId="5" borderId="17" xfId="0" applyFont="1" applyFill="1" applyBorder="1" applyAlignment="1">
      <alignment horizontal="center" vertical="center" wrapText="1"/>
    </xf>
    <xf numFmtId="0" fontId="2" fillId="5" borderId="18" xfId="0" applyFont="1" applyFill="1" applyBorder="1" applyAlignment="1">
      <alignment horizontal="center" vertical="center" wrapText="1"/>
    </xf>
    <xf numFmtId="0" fontId="2" fillId="0" borderId="9" xfId="0" applyFont="1" applyBorder="1"/>
    <xf numFmtId="0" fontId="2" fillId="0" borderId="10" xfId="0" applyFont="1" applyBorder="1"/>
    <xf numFmtId="0" fontId="2" fillId="0" borderId="11" xfId="0" applyFont="1" applyBorder="1"/>
    <xf numFmtId="0" fontId="2" fillId="0" borderId="12" xfId="0" applyFont="1" applyBorder="1"/>
    <xf numFmtId="0" fontId="2" fillId="0" borderId="13" xfId="0" applyFont="1" applyBorder="1"/>
    <xf numFmtId="0" fontId="4" fillId="4" borderId="9" xfId="0" applyFont="1" applyFill="1" applyBorder="1"/>
    <xf numFmtId="0" fontId="4" fillId="4" borderId="10" xfId="0" applyFont="1" applyFill="1" applyBorder="1"/>
    <xf numFmtId="0" fontId="4" fillId="4" borderId="11" xfId="0" applyFont="1" applyFill="1" applyBorder="1"/>
    <xf numFmtId="0" fontId="2" fillId="0" borderId="15" xfId="0" applyFont="1" applyBorder="1"/>
    <xf numFmtId="167" fontId="2" fillId="0" borderId="16" xfId="2" applyNumberFormat="1" applyFont="1" applyBorder="1"/>
    <xf numFmtId="0" fontId="3" fillId="5" borderId="15" xfId="0" applyFont="1" applyFill="1" applyBorder="1"/>
    <xf numFmtId="0" fontId="3" fillId="7" borderId="12" xfId="0" applyFont="1" applyFill="1" applyBorder="1" applyAlignment="1">
      <alignment horizontal="center" vertical="center" wrapText="1"/>
    </xf>
    <xf numFmtId="167" fontId="3" fillId="7" borderId="13" xfId="2" applyNumberFormat="1" applyFont="1" applyFill="1" applyBorder="1"/>
    <xf numFmtId="0" fontId="3" fillId="7" borderId="13" xfId="0" applyFont="1" applyFill="1" applyBorder="1"/>
    <xf numFmtId="167" fontId="3" fillId="7" borderId="14" xfId="2" applyNumberFormat="1" applyFont="1" applyFill="1" applyBorder="1"/>
    <xf numFmtId="0" fontId="2" fillId="8" borderId="9" xfId="0" applyFont="1" applyFill="1" applyBorder="1"/>
    <xf numFmtId="0" fontId="2" fillId="8" borderId="10" xfId="0" applyFont="1" applyFill="1" applyBorder="1"/>
    <xf numFmtId="0" fontId="2" fillId="8" borderId="11" xfId="0" applyFont="1" applyFill="1" applyBorder="1"/>
    <xf numFmtId="0" fontId="2" fillId="8" borderId="12" xfId="0" applyFont="1" applyFill="1" applyBorder="1"/>
    <xf numFmtId="0" fontId="2" fillId="8" borderId="13" xfId="0" applyFont="1" applyFill="1" applyBorder="1"/>
    <xf numFmtId="0" fontId="2" fillId="8" borderId="14" xfId="0" applyFont="1" applyFill="1" applyBorder="1"/>
    <xf numFmtId="0" fontId="2" fillId="9" borderId="9" xfId="0" applyFont="1" applyFill="1" applyBorder="1"/>
    <xf numFmtId="167" fontId="2" fillId="9" borderId="10" xfId="2" applyNumberFormat="1" applyFont="1" applyFill="1" applyBorder="1"/>
    <xf numFmtId="0" fontId="2" fillId="9" borderId="10" xfId="0" applyFont="1" applyFill="1" applyBorder="1"/>
    <xf numFmtId="0" fontId="2" fillId="9" borderId="11" xfId="0" applyFont="1" applyFill="1" applyBorder="1"/>
    <xf numFmtId="0" fontId="2" fillId="9" borderId="12" xfId="0" applyFont="1" applyFill="1" applyBorder="1"/>
    <xf numFmtId="0" fontId="2" fillId="9" borderId="13" xfId="0" applyFont="1" applyFill="1" applyBorder="1"/>
    <xf numFmtId="0" fontId="2" fillId="9" borderId="14" xfId="0" applyFont="1" applyFill="1" applyBorder="1"/>
    <xf numFmtId="0" fontId="2" fillId="0" borderId="1" xfId="0" applyFont="1" applyBorder="1" applyAlignment="1">
      <alignment horizontal="center" vertical="center"/>
    </xf>
    <xf numFmtId="167" fontId="2" fillId="2" borderId="6" xfId="1" applyNumberFormat="1" applyFont="1" applyFill="1" applyBorder="1"/>
    <xf numFmtId="164" fontId="2" fillId="0" borderId="8" xfId="1" applyFont="1" applyBorder="1" applyAlignment="1">
      <alignment horizontal="center"/>
    </xf>
    <xf numFmtId="164" fontId="0" fillId="0" borderId="0" xfId="0" applyNumberFormat="1"/>
    <xf numFmtId="167" fontId="0" fillId="0" borderId="0" xfId="2" applyNumberFormat="1" applyFont="1"/>
    <xf numFmtId="165" fontId="0" fillId="0" borderId="0" xfId="0" applyNumberFormat="1"/>
    <xf numFmtId="167" fontId="0" fillId="0" borderId="0" xfId="0" applyNumberFormat="1"/>
    <xf numFmtId="0" fontId="2" fillId="2" borderId="1" xfId="0" applyFont="1" applyFill="1" applyBorder="1"/>
    <xf numFmtId="164" fontId="2" fillId="2" borderId="3" xfId="1" applyFont="1" applyFill="1" applyBorder="1"/>
    <xf numFmtId="164" fontId="2" fillId="2" borderId="1" xfId="1" applyFont="1" applyFill="1" applyBorder="1"/>
    <xf numFmtId="167" fontId="2" fillId="2" borderId="1" xfId="0" applyNumberFormat="1" applyFont="1" applyFill="1" applyBorder="1" applyAlignment="1">
      <alignment vertical="center"/>
    </xf>
    <xf numFmtId="43" fontId="2" fillId="0" borderId="0" xfId="0" applyNumberFormat="1" applyFont="1"/>
    <xf numFmtId="0" fontId="2" fillId="0" borderId="0" xfId="0" applyFont="1" applyAlignment="1">
      <alignment horizontal="center" vertical="center" wrapText="1"/>
    </xf>
    <xf numFmtId="164" fontId="2" fillId="2" borderId="7" xfId="1" applyFont="1" applyFill="1" applyBorder="1" applyAlignment="1">
      <alignment horizontal="center"/>
    </xf>
    <xf numFmtId="0" fontId="2" fillId="2" borderId="0" xfId="0" applyFont="1" applyFill="1"/>
    <xf numFmtId="0" fontId="2" fillId="0" borderId="19" xfId="0" applyFont="1" applyBorder="1" applyAlignment="1">
      <alignment vertical="center" wrapText="1"/>
    </xf>
    <xf numFmtId="166" fontId="2" fillId="0" borderId="20" xfId="0" applyNumberFormat="1" applyFont="1" applyBorder="1" applyAlignment="1">
      <alignment vertical="center"/>
    </xf>
    <xf numFmtId="0" fontId="2" fillId="0" borderId="21" xfId="0" applyFont="1" applyBorder="1" applyAlignment="1">
      <alignment vertical="center"/>
    </xf>
    <xf numFmtId="164" fontId="2" fillId="0" borderId="22" xfId="0" applyNumberFormat="1" applyFont="1" applyBorder="1" applyAlignment="1">
      <alignment vertical="center"/>
    </xf>
    <xf numFmtId="0" fontId="2" fillId="0" borderId="23" xfId="0" applyFont="1" applyBorder="1" applyAlignment="1">
      <alignment vertical="center"/>
    </xf>
    <xf numFmtId="43" fontId="2" fillId="0" borderId="23" xfId="0" applyNumberFormat="1" applyFont="1" applyBorder="1" applyAlignment="1">
      <alignment vertical="center"/>
    </xf>
    <xf numFmtId="164" fontId="2" fillId="0" borderId="24" xfId="0" applyNumberFormat="1" applyFont="1" applyBorder="1" applyAlignment="1">
      <alignment vertical="center"/>
    </xf>
    <xf numFmtId="164" fontId="2" fillId="0" borderId="1" xfId="0" applyNumberFormat="1" applyFont="1" applyBorder="1"/>
    <xf numFmtId="164" fontId="2" fillId="2" borderId="25" xfId="1" applyFont="1" applyFill="1" applyBorder="1"/>
    <xf numFmtId="164" fontId="2" fillId="0" borderId="26" xfId="1" applyFont="1" applyBorder="1" applyAlignment="1">
      <alignment horizontal="center"/>
    </xf>
    <xf numFmtId="164" fontId="2" fillId="0" borderId="27" xfId="1" applyFont="1" applyBorder="1" applyAlignment="1">
      <alignment horizontal="center"/>
    </xf>
    <xf numFmtId="167" fontId="2" fillId="0" borderId="26" xfId="2" applyNumberFormat="1" applyFont="1" applyBorder="1" applyAlignment="1">
      <alignment horizontal="center"/>
    </xf>
    <xf numFmtId="164" fontId="2" fillId="0" borderId="28" xfId="1" applyFont="1" applyBorder="1"/>
    <xf numFmtId="164" fontId="2" fillId="0" borderId="28" xfId="0" applyNumberFormat="1" applyFont="1" applyBorder="1"/>
    <xf numFmtId="0" fontId="2" fillId="0" borderId="28" xfId="0" applyFont="1" applyBorder="1"/>
    <xf numFmtId="167" fontId="2" fillId="0" borderId="28" xfId="0" applyNumberFormat="1" applyFont="1" applyBorder="1"/>
    <xf numFmtId="164" fontId="2" fillId="0" borderId="28" xfId="1" applyFont="1" applyBorder="1" applyAlignment="1">
      <alignment horizontal="center"/>
    </xf>
    <xf numFmtId="167" fontId="2" fillId="0" borderId="0" xfId="2" applyNumberFormat="1" applyFont="1"/>
    <xf numFmtId="0" fontId="2" fillId="0" borderId="0" xfId="0" applyFont="1" applyAlignment="1">
      <alignment wrapText="1"/>
    </xf>
    <xf numFmtId="164" fontId="2" fillId="0" borderId="0" xfId="1" applyFont="1"/>
    <xf numFmtId="9" fontId="2" fillId="0" borderId="0" xfId="0" applyNumberFormat="1" applyFont="1" applyAlignment="1">
      <alignment horizontal="center" vertical="center" wrapText="1"/>
    </xf>
    <xf numFmtId="164" fontId="2" fillId="0" borderId="0" xfId="1" applyFont="1" applyAlignment="1">
      <alignment horizontal="center" vertical="center" wrapText="1"/>
    </xf>
    <xf numFmtId="0" fontId="6" fillId="0" borderId="0" xfId="0" applyFont="1"/>
    <xf numFmtId="0" fontId="6" fillId="0" borderId="1" xfId="0" applyFont="1" applyBorder="1"/>
    <xf numFmtId="164" fontId="6" fillId="0" borderId="1" xfId="1" applyFont="1" applyBorder="1"/>
    <xf numFmtId="9" fontId="6" fillId="0" borderId="1" xfId="3" applyFont="1" applyBorder="1" applyAlignment="1">
      <alignment horizontal="center"/>
    </xf>
    <xf numFmtId="41" fontId="6" fillId="0" borderId="0" xfId="0" applyNumberFormat="1" applyFont="1"/>
    <xf numFmtId="0" fontId="2" fillId="0" borderId="31" xfId="0" applyFont="1" applyBorder="1" applyAlignment="1">
      <alignment wrapText="1"/>
    </xf>
    <xf numFmtId="0" fontId="2" fillId="0" borderId="31" xfId="0" applyFont="1" applyBorder="1" applyAlignment="1">
      <alignment vertical="center" wrapText="1"/>
    </xf>
    <xf numFmtId="167" fontId="2" fillId="0" borderId="32" xfId="2" applyNumberFormat="1" applyFont="1" applyBorder="1"/>
    <xf numFmtId="0" fontId="2" fillId="0" borderId="32" xfId="0" applyFont="1" applyBorder="1"/>
    <xf numFmtId="9" fontId="2" fillId="0" borderId="32" xfId="0" applyNumberFormat="1" applyFont="1" applyBorder="1"/>
    <xf numFmtId="41" fontId="6" fillId="0" borderId="1" xfId="0" applyNumberFormat="1" applyFont="1" applyBorder="1"/>
    <xf numFmtId="0" fontId="2" fillId="0" borderId="32" xfId="0" applyFont="1" applyBorder="1" applyAlignment="1">
      <alignment horizontal="center" vertical="center" wrapText="1"/>
    </xf>
    <xf numFmtId="0" fontId="2" fillId="0" borderId="32" xfId="0" applyFont="1" applyBorder="1" applyAlignment="1">
      <alignment horizontal="center" vertical="center"/>
    </xf>
    <xf numFmtId="0" fontId="5" fillId="0" borderId="0" xfId="4" applyAlignment="1">
      <alignment horizontal="center" vertical="center" wrapText="1"/>
    </xf>
    <xf numFmtId="0" fontId="2" fillId="0" borderId="33" xfId="0" applyFont="1" applyBorder="1" applyAlignment="1">
      <alignment horizontal="center"/>
    </xf>
    <xf numFmtId="0" fontId="2" fillId="0" borderId="34" xfId="0" applyFont="1" applyBorder="1" applyAlignment="1">
      <alignment horizontal="center"/>
    </xf>
    <xf numFmtId="0" fontId="2" fillId="0" borderId="35" xfId="0" applyFont="1" applyBorder="1" applyAlignment="1">
      <alignment horizontal="center"/>
    </xf>
    <xf numFmtId="0" fontId="3" fillId="0" borderId="0" xfId="0" applyFont="1" applyAlignment="1">
      <alignment horizontal="center"/>
    </xf>
    <xf numFmtId="0" fontId="6" fillId="0" borderId="29" xfId="0" applyFont="1" applyBorder="1" applyAlignment="1">
      <alignment horizontal="center"/>
    </xf>
    <xf numFmtId="0" fontId="6" fillId="0" borderId="30" xfId="0" applyFont="1" applyBorder="1" applyAlignment="1">
      <alignment horizontal="center"/>
    </xf>
    <xf numFmtId="0" fontId="6" fillId="0" borderId="31" xfId="0" applyFont="1" applyBorder="1" applyAlignment="1">
      <alignment horizontal="center"/>
    </xf>
    <xf numFmtId="0" fontId="3" fillId="6" borderId="0" xfId="0" applyFont="1" applyFill="1" applyAlignment="1">
      <alignment horizontal="center"/>
    </xf>
    <xf numFmtId="0" fontId="0" fillId="0" borderId="1" xfId="0" applyBorder="1" applyAlignment="1">
      <alignment horizontal="center"/>
    </xf>
    <xf numFmtId="164" fontId="0" fillId="0" borderId="0" xfId="1" applyFont="1"/>
  </cellXfs>
  <cellStyles count="5">
    <cellStyle name="Comma" xfId="2" builtinId="3"/>
    <cellStyle name="Comma [0]" xfId="1" builtinId="6"/>
    <cellStyle name="Hyperlink" xfId="4" builtinId="8"/>
    <cellStyle name="Normal" xfId="0" builtinId="0"/>
    <cellStyle name="Percent" xfId="3"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Spin" dx="16" fmlaLink="$E$4" max="1004" min="1001" page="10" val="1002"/>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8</xdr:col>
      <xdr:colOff>155864</xdr:colOff>
      <xdr:row>0</xdr:row>
      <xdr:rowOff>69273</xdr:rowOff>
    </xdr:from>
    <xdr:to>
      <xdr:col>9</xdr:col>
      <xdr:colOff>373247</xdr:colOff>
      <xdr:row>3</xdr:row>
      <xdr:rowOff>5997</xdr:rowOff>
    </xdr:to>
    <xdr:pic>
      <xdr:nvPicPr>
        <xdr:cNvPr id="3" name="Picture 2">
          <a:extLst>
            <a:ext uri="{FF2B5EF4-FFF2-40B4-BE49-F238E27FC236}">
              <a16:creationId xmlns:a16="http://schemas.microsoft.com/office/drawing/2014/main" id="{8EB0C99F-E244-8DD6-6D4E-D4A0FA4EB147}"/>
            </a:ext>
          </a:extLst>
        </xdr:cNvPr>
        <xdr:cNvPicPr>
          <a:picLocks noChangeAspect="1"/>
        </xdr:cNvPicPr>
      </xdr:nvPicPr>
      <xdr:blipFill>
        <a:blip xmlns:r="http://schemas.openxmlformats.org/officeDocument/2006/relationships" r:embed="rId1"/>
        <a:stretch>
          <a:fillRect/>
        </a:stretch>
      </xdr:blipFill>
      <xdr:spPr>
        <a:xfrm>
          <a:off x="9785320675" y="69273"/>
          <a:ext cx="1296438" cy="6900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476251</xdr:colOff>
      <xdr:row>0</xdr:row>
      <xdr:rowOff>121228</xdr:rowOff>
    </xdr:from>
    <xdr:to>
      <xdr:col>11</xdr:col>
      <xdr:colOff>644934</xdr:colOff>
      <xdr:row>2</xdr:row>
      <xdr:rowOff>155864</xdr:rowOff>
    </xdr:to>
    <xdr:pic>
      <xdr:nvPicPr>
        <xdr:cNvPr id="3" name="Picture 2">
          <a:extLst>
            <a:ext uri="{FF2B5EF4-FFF2-40B4-BE49-F238E27FC236}">
              <a16:creationId xmlns:a16="http://schemas.microsoft.com/office/drawing/2014/main" id="{DBF95331-7357-4954-818B-61F278071B9D}"/>
            </a:ext>
          </a:extLst>
        </xdr:cNvPr>
        <xdr:cNvPicPr>
          <a:picLocks noChangeAspect="1"/>
        </xdr:cNvPicPr>
      </xdr:nvPicPr>
      <xdr:blipFill>
        <a:blip xmlns:r="http://schemas.openxmlformats.org/officeDocument/2006/relationships" r:embed="rId1"/>
        <a:stretch>
          <a:fillRect/>
        </a:stretch>
      </xdr:blipFill>
      <xdr:spPr>
        <a:xfrm>
          <a:off x="9784846498" y="121228"/>
          <a:ext cx="1008615" cy="53686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85725</xdr:colOff>
          <xdr:row>3</xdr:row>
          <xdr:rowOff>19050</xdr:rowOff>
        </xdr:from>
        <xdr:to>
          <xdr:col>8</xdr:col>
          <xdr:colOff>552450</xdr:colOff>
          <xdr:row>8</xdr:row>
          <xdr:rowOff>9525</xdr:rowOff>
        </xdr:to>
        <xdr:sp macro="" textlink="">
          <xdr:nvSpPr>
            <xdr:cNvPr id="1026" name="Spinner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10</xdr:col>
      <xdr:colOff>476251</xdr:colOff>
      <xdr:row>0</xdr:row>
      <xdr:rowOff>121228</xdr:rowOff>
    </xdr:from>
    <xdr:to>
      <xdr:col>11</xdr:col>
      <xdr:colOff>644934</xdr:colOff>
      <xdr:row>2</xdr:row>
      <xdr:rowOff>155864</xdr:rowOff>
    </xdr:to>
    <xdr:pic>
      <xdr:nvPicPr>
        <xdr:cNvPr id="2" name="Picture 1">
          <a:extLst>
            <a:ext uri="{FF2B5EF4-FFF2-40B4-BE49-F238E27FC236}">
              <a16:creationId xmlns:a16="http://schemas.microsoft.com/office/drawing/2014/main" id="{EA89456A-D33F-4236-AA9D-5F0AA79720F9}"/>
            </a:ext>
          </a:extLst>
        </xdr:cNvPr>
        <xdr:cNvPicPr>
          <a:picLocks noChangeAspect="1"/>
        </xdr:cNvPicPr>
      </xdr:nvPicPr>
      <xdr:blipFill>
        <a:blip xmlns:r="http://schemas.openxmlformats.org/officeDocument/2006/relationships" r:embed="rId1"/>
        <a:stretch>
          <a:fillRect/>
        </a:stretch>
      </xdr:blipFill>
      <xdr:spPr>
        <a:xfrm>
          <a:off x="9828583566" y="121228"/>
          <a:ext cx="1006883" cy="5299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Persian%20Function%20For%20EXCEL.xla" TargetMode="External"/><Relationship Id="rId1" Type="http://schemas.openxmlformats.org/officeDocument/2006/relationships/externalLinkPath" Target="file:///C:\Persian%20Function%20For%20EXCEL.xl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heet1"/>
    </sheetNames>
    <definedNames>
      <definedName name="AbH"/>
      <definedName name="J_DIFF"/>
    </defined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edariwiki.ir/%D9%85%D8%A7%D8%AF%D9%87_%DB%B3%DB%B6_%D9%82%D8%A7%D9%86%D9%88%D9%86_%DA%A9%D8%A7%D8%B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35"/>
  <sheetViews>
    <sheetView rightToLeft="1" topLeftCell="C1" zoomScale="130" zoomScaleNormal="130" workbookViewId="0">
      <selection activeCell="D16" sqref="D16"/>
    </sheetView>
  </sheetViews>
  <sheetFormatPr defaultColWidth="9" defaultRowHeight="18" x14ac:dyDescent="0.45"/>
  <cols>
    <col min="1" max="1" width="9" style="1"/>
    <col min="2" max="2" width="15" style="1" customWidth="1"/>
    <col min="3" max="3" width="18" style="1" customWidth="1"/>
    <col min="4" max="4" width="13.85546875" style="1" bestFit="1" customWidth="1"/>
    <col min="5" max="5" width="19.140625" style="1" customWidth="1"/>
    <col min="6" max="6" width="10.7109375" style="1" customWidth="1"/>
    <col min="7" max="7" width="10.7109375" style="1" hidden="1" customWidth="1"/>
    <col min="8" max="8" width="23.28515625" style="1" customWidth="1"/>
    <col min="9" max="9" width="16.140625" style="1" customWidth="1"/>
    <col min="10" max="10" width="12.28515625" style="1" customWidth="1"/>
    <col min="11" max="11" width="10.140625" style="1" customWidth="1"/>
    <col min="12" max="12" width="10.7109375" style="1" bestFit="1" customWidth="1"/>
    <col min="13" max="13" width="14.28515625" style="1" customWidth="1"/>
    <col min="14" max="14" width="14.7109375" style="1" customWidth="1"/>
    <col min="15" max="15" width="15.140625" style="1" customWidth="1"/>
    <col min="16" max="16" width="13" style="1" customWidth="1"/>
    <col min="17" max="17" width="12.28515625" style="1" customWidth="1"/>
    <col min="18" max="16384" width="9" style="1"/>
  </cols>
  <sheetData>
    <row r="1" spans="1:17" ht="19.5" x14ac:dyDescent="0.5">
      <c r="A1" s="2" t="s">
        <v>79</v>
      </c>
      <c r="B1" s="2"/>
      <c r="C1" s="2"/>
      <c r="D1" s="2"/>
      <c r="E1" s="2"/>
      <c r="F1" s="2"/>
      <c r="G1" s="2"/>
      <c r="H1" s="2"/>
      <c r="I1" s="2"/>
      <c r="J1" s="2"/>
      <c r="K1" s="2"/>
      <c r="L1" s="2"/>
      <c r="M1" s="2"/>
    </row>
    <row r="2" spans="1:17" ht="19.5" x14ac:dyDescent="0.5">
      <c r="A2" s="2"/>
      <c r="B2" s="2" t="s">
        <v>0</v>
      </c>
      <c r="C2" s="2"/>
      <c r="D2" s="2"/>
      <c r="E2" s="2"/>
      <c r="F2" s="2"/>
      <c r="G2" s="2"/>
      <c r="H2" s="2"/>
      <c r="I2" s="2"/>
      <c r="J2" s="2"/>
      <c r="K2" s="2" t="s">
        <v>2</v>
      </c>
      <c r="L2" s="2"/>
      <c r="M2" s="2"/>
    </row>
    <row r="3" spans="1:17" ht="19.5" x14ac:dyDescent="0.5">
      <c r="A3" s="2"/>
      <c r="B3" s="2" t="s">
        <v>1</v>
      </c>
      <c r="C3" s="2"/>
      <c r="D3" s="2"/>
      <c r="E3" s="2"/>
      <c r="F3" s="2"/>
      <c r="G3" s="2"/>
      <c r="H3" s="2"/>
      <c r="I3" s="2"/>
      <c r="J3" s="2"/>
      <c r="K3" s="2" t="str">
        <f>'کارکرد فروردین'!I3</f>
        <v>تاریخ تهیه : 1404/01/31</v>
      </c>
      <c r="L3" s="2"/>
      <c r="M3" s="2"/>
    </row>
    <row r="4" spans="1:17" ht="19.5" x14ac:dyDescent="0.5">
      <c r="A4" s="2"/>
      <c r="B4" s="2"/>
      <c r="C4" s="2"/>
      <c r="D4" s="2"/>
      <c r="E4" s="2"/>
      <c r="F4" s="2"/>
      <c r="G4" s="2"/>
      <c r="H4" s="2"/>
      <c r="I4" s="2"/>
      <c r="J4" s="2"/>
      <c r="K4" s="2" t="s">
        <v>3</v>
      </c>
      <c r="L4" s="2"/>
      <c r="M4" s="2"/>
      <c r="N4" s="1" t="s">
        <v>80</v>
      </c>
    </row>
    <row r="5" spans="1:17" ht="36" x14ac:dyDescent="0.45">
      <c r="A5" s="12" t="s">
        <v>4</v>
      </c>
      <c r="B5" s="12" t="s">
        <v>5</v>
      </c>
      <c r="C5" s="12" t="s">
        <v>18</v>
      </c>
      <c r="D5" s="12" t="s">
        <v>6</v>
      </c>
      <c r="E5" s="12" t="s">
        <v>7</v>
      </c>
      <c r="F5" s="12" t="s">
        <v>8</v>
      </c>
      <c r="G5" s="12"/>
      <c r="H5" s="12" t="s">
        <v>49</v>
      </c>
      <c r="I5" s="12" t="s">
        <v>70</v>
      </c>
      <c r="J5" s="12" t="s">
        <v>71</v>
      </c>
      <c r="K5" s="12" t="s">
        <v>10</v>
      </c>
      <c r="L5" s="12" t="s">
        <v>76</v>
      </c>
      <c r="M5" s="12" t="s">
        <v>11</v>
      </c>
      <c r="N5" s="12" t="s">
        <v>20</v>
      </c>
      <c r="O5" s="12" t="s">
        <v>47</v>
      </c>
      <c r="P5" s="58" t="s">
        <v>65</v>
      </c>
      <c r="Q5" s="12" t="s">
        <v>66</v>
      </c>
    </row>
    <row r="6" spans="1:17" x14ac:dyDescent="0.45">
      <c r="A6" s="7">
        <v>1001</v>
      </c>
      <c r="B6" s="8" t="s">
        <v>12</v>
      </c>
      <c r="C6" s="8" t="s">
        <v>72</v>
      </c>
      <c r="D6" s="9">
        <f>I28</f>
        <v>92476050</v>
      </c>
      <c r="E6" s="9">
        <f>J28</f>
        <v>33264000</v>
      </c>
      <c r="F6" s="9">
        <f>M28</f>
        <v>2772000</v>
      </c>
      <c r="G6" s="9"/>
      <c r="H6" s="9">
        <f>D6+E6+F6+G6</f>
        <v>128512050</v>
      </c>
      <c r="I6" s="9">
        <v>15</v>
      </c>
      <c r="J6" s="9">
        <f>H6/220*I6*1.35</f>
        <v>11828950.056818182</v>
      </c>
      <c r="K6" s="10">
        <v>3</v>
      </c>
      <c r="L6" s="60">
        <v>5000000</v>
      </c>
      <c r="M6" s="11">
        <v>31000000</v>
      </c>
      <c r="N6" s="24" cm="1">
        <f t="array" ref="N6">[1]!J_DIFF(C6,$N$4)+1</f>
        <v>700</v>
      </c>
      <c r="O6" s="19">
        <f>H6/365*N6</f>
        <v>246461465.75342464</v>
      </c>
      <c r="P6" s="19">
        <f>IF((H6*2)&gt;=90*'کارکرد فروردین'!$I$15,90*'کارکرد فروردین'!$I$15,H6*2)</f>
        <v>257024100</v>
      </c>
      <c r="Q6" s="19">
        <f>P6-'کارکرد فروردین'!$N$15</f>
        <v>17024100</v>
      </c>
    </row>
    <row r="7" spans="1:17" x14ac:dyDescent="0.45">
      <c r="A7" s="3">
        <v>1002</v>
      </c>
      <c r="B7" s="4" t="s">
        <v>13</v>
      </c>
      <c r="C7" s="8" t="s">
        <v>73</v>
      </c>
      <c r="D7" s="9">
        <f t="shared" ref="D7:D9" si="0">I29</f>
        <v>504316050</v>
      </c>
      <c r="E7" s="9">
        <f t="shared" ref="E7:E9" si="1">J29</f>
        <v>198000000</v>
      </c>
      <c r="F7" s="9">
        <f t="shared" ref="F7:F9" si="2">M29</f>
        <v>5592000</v>
      </c>
      <c r="G7" s="9"/>
      <c r="H7" s="9">
        <f>D7+E7+F7+G7</f>
        <v>707908050</v>
      </c>
      <c r="I7" s="9">
        <v>20</v>
      </c>
      <c r="J7" s="9">
        <f>H7/220*I7*1.35</f>
        <v>86879624.318181828</v>
      </c>
      <c r="K7" s="6">
        <v>0</v>
      </c>
      <c r="L7" s="60">
        <v>0</v>
      </c>
      <c r="M7" s="11">
        <v>31000000</v>
      </c>
      <c r="N7" s="24" cm="1">
        <f t="array" ref="N7">[1]!J_DIFF(C7,$N$4)+1</f>
        <v>731</v>
      </c>
      <c r="O7" s="19">
        <f t="shared" ref="O7:O9" si="3">H7/365*N7</f>
        <v>1417755574.1095891</v>
      </c>
      <c r="P7" s="19">
        <f>IF((H7*2)&gt;=90*'کارکرد فروردین'!$I$15,90*'کارکرد فروردین'!$I$15,H7*2)</f>
        <v>311729036.39999998</v>
      </c>
      <c r="Q7" s="19">
        <f>P7-'کارکرد فروردین'!$N$15</f>
        <v>71729036.399999976</v>
      </c>
    </row>
    <row r="8" spans="1:17" x14ac:dyDescent="0.45">
      <c r="A8" s="3">
        <v>1003</v>
      </c>
      <c r="B8" s="4" t="s">
        <v>67</v>
      </c>
      <c r="C8" s="8" t="s">
        <v>73</v>
      </c>
      <c r="D8" s="9">
        <f t="shared" si="0"/>
        <v>131416050</v>
      </c>
      <c r="E8" s="9">
        <f t="shared" si="1"/>
        <v>48840000</v>
      </c>
      <c r="F8" s="9">
        <f t="shared" si="2"/>
        <v>5592000</v>
      </c>
      <c r="G8" s="9"/>
      <c r="H8" s="9">
        <f>D8+E8+F8+G8</f>
        <v>185848050</v>
      </c>
      <c r="I8" s="9">
        <v>30</v>
      </c>
      <c r="J8" s="9">
        <f>H8/220*I8*1.35</f>
        <v>34212936.477272734</v>
      </c>
      <c r="K8" s="6">
        <v>1</v>
      </c>
      <c r="L8" s="60">
        <v>5000000</v>
      </c>
      <c r="M8" s="11">
        <v>31000000</v>
      </c>
      <c r="N8" s="24" cm="1">
        <f t="array" ref="N8">[1]!J_DIFF(C8,$N$4)+1</f>
        <v>731</v>
      </c>
      <c r="O8" s="19">
        <f t="shared" si="3"/>
        <v>372205272.73972607</v>
      </c>
      <c r="P8" s="19">
        <f>IF((H8*2)&gt;=90*'کارکرد فروردین'!$I$15,90*'کارکرد فروردین'!$I$15,H8*2)</f>
        <v>311729036.39999998</v>
      </c>
      <c r="Q8" s="19">
        <f>P8-'کارکرد فروردین'!$N$15</f>
        <v>71729036.399999976</v>
      </c>
    </row>
    <row r="9" spans="1:17" x14ac:dyDescent="0.45">
      <c r="A9" s="3">
        <v>1004</v>
      </c>
      <c r="B9" s="4" t="s">
        <v>68</v>
      </c>
      <c r="C9" s="8" t="s">
        <v>74</v>
      </c>
      <c r="D9" s="9">
        <f t="shared" si="0"/>
        <v>88516050</v>
      </c>
      <c r="E9" s="9">
        <f t="shared" si="1"/>
        <v>33000000</v>
      </c>
      <c r="F9" s="9">
        <f t="shared" si="2"/>
        <v>2772000</v>
      </c>
      <c r="G9" s="9"/>
      <c r="H9" s="9">
        <f>D9+E9+F9+G9</f>
        <v>124288050</v>
      </c>
      <c r="I9" s="9">
        <v>40</v>
      </c>
      <c r="J9" s="9">
        <f>H9/220*I9*1.35</f>
        <v>30507066.818181816</v>
      </c>
      <c r="K9" s="6">
        <v>2</v>
      </c>
      <c r="L9" s="60">
        <v>5000000</v>
      </c>
      <c r="M9" s="11">
        <v>31000000</v>
      </c>
      <c r="N9" s="24" cm="1">
        <f t="array" ref="N9">[1]!J_DIFF(C9,$N$4)+1</f>
        <v>486</v>
      </c>
      <c r="O9" s="19">
        <f t="shared" si="3"/>
        <v>165490389.86301368</v>
      </c>
      <c r="P9" s="19">
        <f>IF((H9*2)&gt;=90*'کارکرد فروردین'!$I$15,90*'کارکرد فروردین'!$I$15,H9*2)</f>
        <v>248576100</v>
      </c>
      <c r="Q9" s="19">
        <f>P9-'کارکرد فروردین'!$N$15</f>
        <v>8576100</v>
      </c>
    </row>
    <row r="10" spans="1:17" x14ac:dyDescent="0.45">
      <c r="O10" s="23">
        <f>SUM(O6:O9)</f>
        <v>2201912702.4657536</v>
      </c>
    </row>
    <row r="12" spans="1:17" x14ac:dyDescent="0.45">
      <c r="I12" s="108" t="s">
        <v>81</v>
      </c>
      <c r="J12" s="108"/>
      <c r="K12" s="108"/>
      <c r="L12" s="108"/>
      <c r="M12" s="108"/>
      <c r="N12" s="108"/>
      <c r="O12" s="108"/>
      <c r="P12" s="108"/>
    </row>
    <row r="13" spans="1:17" x14ac:dyDescent="0.45">
      <c r="I13" s="108"/>
      <c r="J13" s="108"/>
      <c r="K13" s="108"/>
      <c r="L13" s="108"/>
      <c r="M13" s="108"/>
      <c r="N13" s="108"/>
      <c r="O13" s="108"/>
      <c r="P13" s="108"/>
    </row>
    <row r="14" spans="1:17" x14ac:dyDescent="0.45">
      <c r="I14" s="108"/>
      <c r="J14" s="108"/>
      <c r="K14" s="108"/>
      <c r="L14" s="108"/>
      <c r="M14" s="108"/>
      <c r="N14" s="108"/>
      <c r="O14" s="108"/>
      <c r="P14" s="108"/>
    </row>
    <row r="15" spans="1:17" x14ac:dyDescent="0.45">
      <c r="I15" s="108"/>
      <c r="J15" s="108"/>
      <c r="K15" s="108"/>
      <c r="L15" s="108"/>
      <c r="M15" s="108"/>
      <c r="N15" s="108"/>
      <c r="O15" s="108"/>
      <c r="P15" s="108"/>
    </row>
    <row r="16" spans="1:17" x14ac:dyDescent="0.45">
      <c r="I16" s="108"/>
      <c r="J16" s="108"/>
      <c r="K16" s="108"/>
      <c r="L16" s="108"/>
      <c r="M16" s="108"/>
      <c r="N16" s="108"/>
      <c r="O16" s="108"/>
      <c r="P16" s="108"/>
    </row>
    <row r="17" spans="1:16" x14ac:dyDescent="0.45">
      <c r="I17" s="108"/>
      <c r="J17" s="108"/>
      <c r="K17" s="108"/>
      <c r="L17" s="108"/>
      <c r="M17" s="108"/>
      <c r="N17" s="108"/>
      <c r="O17" s="108"/>
      <c r="P17" s="108"/>
    </row>
    <row r="18" spans="1:16" x14ac:dyDescent="0.45">
      <c r="I18" s="108"/>
      <c r="J18" s="108"/>
      <c r="K18" s="108"/>
      <c r="L18" s="108"/>
      <c r="M18" s="108"/>
      <c r="N18" s="108"/>
      <c r="O18" s="108"/>
      <c r="P18" s="108"/>
    </row>
    <row r="19" spans="1:16" x14ac:dyDescent="0.45">
      <c r="I19" s="108"/>
      <c r="J19" s="108"/>
      <c r="K19" s="108"/>
      <c r="L19" s="108"/>
      <c r="M19" s="108"/>
      <c r="N19" s="108"/>
      <c r="O19" s="108"/>
      <c r="P19" s="108"/>
    </row>
    <row r="21" spans="1:16" x14ac:dyDescent="0.45">
      <c r="C21" s="70" t="s">
        <v>82</v>
      </c>
      <c r="D21" s="70" t="s">
        <v>83</v>
      </c>
      <c r="E21" s="70" t="s">
        <v>84</v>
      </c>
      <c r="F21" s="70" t="s">
        <v>85</v>
      </c>
      <c r="G21" s="70"/>
      <c r="H21" s="70" t="s">
        <v>86</v>
      </c>
      <c r="K21" s="1" t="s">
        <v>87</v>
      </c>
    </row>
    <row r="22" spans="1:16" x14ac:dyDescent="0.45">
      <c r="C22" s="70">
        <v>2388728</v>
      </c>
      <c r="D22" s="93">
        <v>0.32</v>
      </c>
      <c r="E22" s="70">
        <f>C22*(1+D22)</f>
        <v>3153120.96</v>
      </c>
      <c r="F22" s="70">
        <v>310535</v>
      </c>
      <c r="G22" s="70"/>
      <c r="H22" s="94">
        <f>E22+F22</f>
        <v>3463655.96</v>
      </c>
      <c r="I22" s="69">
        <f>H22*30</f>
        <v>103909678.8</v>
      </c>
      <c r="K22" s="1">
        <v>94000</v>
      </c>
    </row>
    <row r="23" spans="1:16" x14ac:dyDescent="0.45">
      <c r="K23" s="1">
        <f>K22*30</f>
        <v>2820000</v>
      </c>
    </row>
    <row r="24" spans="1:16" x14ac:dyDescent="0.45">
      <c r="F24" s="92">
        <f>F22*30</f>
        <v>9316050</v>
      </c>
    </row>
    <row r="25" spans="1:16" ht="18.75" thickBot="1" x14ac:dyDescent="0.5">
      <c r="H25" s="69">
        <f>H22/C22</f>
        <v>1.4500001507078244</v>
      </c>
    </row>
    <row r="26" spans="1:16" ht="18.75" thickBot="1" x14ac:dyDescent="0.5">
      <c r="C26" s="109" t="s">
        <v>92</v>
      </c>
      <c r="D26" s="110"/>
      <c r="E26" s="110"/>
      <c r="F26" s="110"/>
      <c r="G26" s="110"/>
      <c r="H26" s="111"/>
      <c r="I26" s="109" t="s">
        <v>93</v>
      </c>
      <c r="J26" s="110"/>
      <c r="K26" s="110"/>
      <c r="L26" s="110"/>
      <c r="M26" s="111"/>
    </row>
    <row r="27" spans="1:16" ht="36" x14ac:dyDescent="0.45">
      <c r="A27" s="12" t="s">
        <v>4</v>
      </c>
      <c r="B27" s="12" t="s">
        <v>5</v>
      </c>
      <c r="C27" s="106" t="s">
        <v>18</v>
      </c>
      <c r="D27" s="106" t="s">
        <v>6</v>
      </c>
      <c r="E27" s="106" t="s">
        <v>7</v>
      </c>
      <c r="F27" s="106" t="s">
        <v>8</v>
      </c>
      <c r="H27" s="1" t="s">
        <v>49</v>
      </c>
      <c r="I27" s="107" t="str">
        <f>D27</f>
        <v xml:space="preserve">میلغ حقوق </v>
      </c>
      <c r="J27" s="107" t="str">
        <f>E27</f>
        <v>حق جذب</v>
      </c>
      <c r="K27" s="106" t="str">
        <f>F27</f>
        <v>پایه سنوات</v>
      </c>
      <c r="L27" s="106" t="s">
        <v>87</v>
      </c>
      <c r="M27" s="107" t="s">
        <v>8</v>
      </c>
    </row>
    <row r="28" spans="1:16" x14ac:dyDescent="0.45">
      <c r="A28" s="7">
        <v>1001</v>
      </c>
      <c r="B28" s="8" t="s">
        <v>12</v>
      </c>
      <c r="C28" s="8" t="s">
        <v>72</v>
      </c>
      <c r="D28" s="9">
        <f>50000000*1.26</f>
        <v>63000000</v>
      </c>
      <c r="E28" s="9">
        <f>D28*0.4</f>
        <v>25200000</v>
      </c>
      <c r="F28" s="9">
        <f>F29</f>
        <v>2100000</v>
      </c>
      <c r="H28" s="17">
        <f>D28+E28+F28</f>
        <v>90300000</v>
      </c>
      <c r="I28" s="80">
        <f>D28*1.32+$F$24</f>
        <v>92476050</v>
      </c>
      <c r="J28" s="80">
        <f>E28*1.32</f>
        <v>33264000</v>
      </c>
      <c r="K28" s="80">
        <f>F28*1.32</f>
        <v>2772000</v>
      </c>
      <c r="L28" s="24"/>
      <c r="M28" s="80">
        <f>K28+L28</f>
        <v>2772000</v>
      </c>
    </row>
    <row r="29" spans="1:16" x14ac:dyDescent="0.45">
      <c r="A29" s="3">
        <v>1002</v>
      </c>
      <c r="B29" s="4" t="s">
        <v>13</v>
      </c>
      <c r="C29" s="8" t="s">
        <v>73</v>
      </c>
      <c r="D29" s="66">
        <f>150000000*2.5</f>
        <v>375000000</v>
      </c>
      <c r="E29" s="5">
        <f>D29*0.4</f>
        <v>150000000</v>
      </c>
      <c r="F29" s="9">
        <f>70000*30</f>
        <v>2100000</v>
      </c>
      <c r="H29" s="17">
        <f t="shared" ref="H29:H31" si="4">D29+E29+F29</f>
        <v>527100000</v>
      </c>
      <c r="I29" s="80">
        <f t="shared" ref="I29:I31" si="5">D29*1.32+$F$24</f>
        <v>504316050</v>
      </c>
      <c r="J29" s="80">
        <f t="shared" ref="J29:J31" si="6">E29*1.32</f>
        <v>198000000</v>
      </c>
      <c r="K29" s="80">
        <f t="shared" ref="K29:K31" si="7">F29*1.32</f>
        <v>2772000</v>
      </c>
      <c r="L29" s="20">
        <f>K23</f>
        <v>2820000</v>
      </c>
      <c r="M29" s="80">
        <f t="shared" ref="M29:M31" si="8">K29+L29</f>
        <v>5592000</v>
      </c>
    </row>
    <row r="30" spans="1:16" x14ac:dyDescent="0.45">
      <c r="A30" s="3">
        <v>1003</v>
      </c>
      <c r="B30" s="4" t="s">
        <v>67</v>
      </c>
      <c r="C30" s="8" t="s">
        <v>73</v>
      </c>
      <c r="D30" s="5">
        <f>18500000*5</f>
        <v>92500000</v>
      </c>
      <c r="E30" s="5">
        <f>D30*0.4</f>
        <v>37000000</v>
      </c>
      <c r="F30" s="9">
        <f>70000*30</f>
        <v>2100000</v>
      </c>
      <c r="H30" s="17">
        <f t="shared" si="4"/>
        <v>131600000</v>
      </c>
      <c r="I30" s="80">
        <f t="shared" si="5"/>
        <v>131416050</v>
      </c>
      <c r="J30" s="80">
        <f t="shared" si="6"/>
        <v>48840000</v>
      </c>
      <c r="K30" s="80">
        <f t="shared" si="7"/>
        <v>2772000</v>
      </c>
      <c r="L30" s="20">
        <f>K23</f>
        <v>2820000</v>
      </c>
      <c r="M30" s="80">
        <f t="shared" si="8"/>
        <v>5592000</v>
      </c>
    </row>
    <row r="31" spans="1:16" x14ac:dyDescent="0.45">
      <c r="A31" s="3">
        <v>1004</v>
      </c>
      <c r="B31" s="4" t="s">
        <v>68</v>
      </c>
      <c r="C31" s="8" t="s">
        <v>74</v>
      </c>
      <c r="D31" s="5">
        <v>60000000</v>
      </c>
      <c r="E31" s="5">
        <v>25000000</v>
      </c>
      <c r="F31" s="9">
        <f>F30</f>
        <v>2100000</v>
      </c>
      <c r="H31" s="17">
        <f t="shared" si="4"/>
        <v>87100000</v>
      </c>
      <c r="I31" s="80">
        <f t="shared" si="5"/>
        <v>88516050</v>
      </c>
      <c r="J31" s="80">
        <f t="shared" si="6"/>
        <v>33000000</v>
      </c>
      <c r="K31" s="80">
        <f t="shared" si="7"/>
        <v>2772000</v>
      </c>
      <c r="L31" s="24"/>
      <c r="M31" s="80">
        <f t="shared" si="8"/>
        <v>2772000</v>
      </c>
    </row>
    <row r="35" spans="13:13" x14ac:dyDescent="0.45">
      <c r="M35" s="17">
        <f>M29/30</f>
        <v>186400</v>
      </c>
    </row>
  </sheetData>
  <mergeCells count="3">
    <mergeCell ref="I12:P19"/>
    <mergeCell ref="C26:H26"/>
    <mergeCell ref="I26:M26"/>
  </mergeCells>
  <hyperlinks>
    <hyperlink ref="I12" r:id="rId1" display="https://edariwiki.ir/%D9%85%D8%A7%D8%AF%D9%87_%DB%B3%DB%B6_%D9%82%D8%A7%D9%86%D9%88%D9%86_%DA%A9%D8%A7%D8%B1" xr:uid="{770AE9D4-B99D-4480-AD09-E15DB30F1DCA}"/>
  </hyperlinks>
  <pageMargins left="0.2" right="0.38" top="0.26" bottom="0.75" header="0.2"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30"/>
  <sheetViews>
    <sheetView rightToLeft="1" zoomScale="110" zoomScaleNormal="110" workbookViewId="0">
      <selection activeCell="D6" sqref="D6:D10"/>
    </sheetView>
  </sheetViews>
  <sheetFormatPr defaultColWidth="9" defaultRowHeight="18" x14ac:dyDescent="0.45"/>
  <cols>
    <col min="1" max="1" width="9" style="1"/>
    <col min="2" max="2" width="20.28515625" style="1" customWidth="1"/>
    <col min="3" max="3" width="9" style="1"/>
    <col min="4" max="4" width="14.140625" style="1" bestFit="1" customWidth="1"/>
    <col min="5" max="5" width="15.28515625" style="1" customWidth="1"/>
    <col min="6" max="6" width="12.42578125" style="1" customWidth="1"/>
    <col min="7" max="7" width="14.5703125" style="1" customWidth="1"/>
    <col min="8" max="8" width="13.140625" style="1" customWidth="1"/>
    <col min="9" max="9" width="10.7109375" style="1" customWidth="1"/>
    <col min="10" max="10" width="12.7109375" style="1" customWidth="1"/>
    <col min="11" max="11" width="12.5703125" style="1" customWidth="1"/>
    <col min="12" max="12" width="14.85546875" style="1" customWidth="1"/>
    <col min="13" max="13" width="12.42578125" style="1" customWidth="1"/>
    <col min="14" max="14" width="13.42578125" style="1" customWidth="1"/>
    <col min="15" max="15" width="9" style="1"/>
    <col min="16" max="16" width="14.28515625" style="1" customWidth="1"/>
    <col min="17" max="17" width="14.140625" style="1" bestFit="1" customWidth="1"/>
    <col min="18" max="18" width="17.28515625" style="1" customWidth="1"/>
    <col min="19" max="19" width="14" style="1" bestFit="1" customWidth="1"/>
    <col min="20" max="20" width="15.42578125" style="1" customWidth="1"/>
    <col min="21" max="21" width="13.28515625" style="1" customWidth="1"/>
    <col min="22" max="22" width="13.7109375" style="1" customWidth="1"/>
    <col min="23" max="23" width="14.42578125" style="1" customWidth="1"/>
    <col min="24" max="24" width="9" style="1"/>
    <col min="25" max="25" width="13.7109375" style="1" bestFit="1" customWidth="1"/>
    <col min="26" max="16384" width="9" style="1"/>
  </cols>
  <sheetData>
    <row r="1" spans="1:25" ht="19.5" x14ac:dyDescent="0.5">
      <c r="A1" s="2" t="str">
        <f>'حکم پرسنلی'!$A$1</f>
        <v>آکادمی آموزش تخصصی</v>
      </c>
      <c r="B1" s="2"/>
      <c r="C1" s="2"/>
      <c r="D1" s="2"/>
      <c r="E1" s="2"/>
      <c r="F1" s="2"/>
      <c r="G1" s="2"/>
      <c r="H1" s="2"/>
      <c r="I1" s="2"/>
      <c r="J1" s="2"/>
      <c r="K1" s="2"/>
      <c r="L1" s="2"/>
    </row>
    <row r="2" spans="1:25" ht="19.5" x14ac:dyDescent="0.5">
      <c r="A2" s="2"/>
      <c r="B2" s="2" t="s">
        <v>0</v>
      </c>
      <c r="C2" s="2"/>
      <c r="D2" s="2"/>
      <c r="E2" s="2"/>
      <c r="F2" s="2"/>
      <c r="G2" s="2"/>
      <c r="H2" s="2"/>
      <c r="I2" s="2" t="s">
        <v>2</v>
      </c>
      <c r="J2" s="2"/>
      <c r="K2" s="2"/>
      <c r="L2" s="2"/>
    </row>
    <row r="3" spans="1:25" ht="19.5" x14ac:dyDescent="0.5">
      <c r="A3" s="2"/>
      <c r="B3" s="2" t="s">
        <v>88</v>
      </c>
      <c r="C3" s="2"/>
      <c r="D3" s="2"/>
      <c r="E3" s="2"/>
      <c r="F3" s="2"/>
      <c r="G3" s="2"/>
      <c r="H3" s="2"/>
      <c r="I3" s="2" t="s">
        <v>89</v>
      </c>
      <c r="J3" s="2"/>
      <c r="K3" s="2"/>
      <c r="L3" s="2"/>
    </row>
    <row r="4" spans="1:25" ht="19.5" x14ac:dyDescent="0.5">
      <c r="A4" s="2"/>
      <c r="B4" s="2">
        <f>'حکم پرسنلی'!B4</f>
        <v>0</v>
      </c>
      <c r="C4" s="2"/>
      <c r="D4" s="2"/>
      <c r="E4" s="2"/>
      <c r="F4" s="2"/>
      <c r="G4" s="2"/>
      <c r="H4" s="2"/>
      <c r="I4" s="2" t="s">
        <v>3</v>
      </c>
      <c r="J4" s="2"/>
      <c r="K4" s="2"/>
      <c r="L4" s="2"/>
    </row>
    <row r="5" spans="1:25" ht="19.5" x14ac:dyDescent="0.5">
      <c r="A5" s="2">
        <v>1</v>
      </c>
      <c r="B5" s="2">
        <v>2</v>
      </c>
      <c r="C5" s="2">
        <v>3</v>
      </c>
      <c r="D5" s="2">
        <v>4</v>
      </c>
      <c r="E5" s="2">
        <v>5</v>
      </c>
      <c r="F5" s="2">
        <v>6</v>
      </c>
      <c r="G5" s="2">
        <v>8</v>
      </c>
      <c r="H5" s="2">
        <v>9</v>
      </c>
      <c r="I5" s="2">
        <v>10</v>
      </c>
      <c r="J5" s="2">
        <v>11</v>
      </c>
      <c r="K5" s="2">
        <v>12</v>
      </c>
      <c r="L5" s="2">
        <v>13</v>
      </c>
      <c r="M5" s="2">
        <v>14</v>
      </c>
      <c r="N5" s="2">
        <v>15</v>
      </c>
      <c r="O5" s="2">
        <v>16</v>
      </c>
      <c r="P5" s="2">
        <v>17</v>
      </c>
      <c r="Q5" s="2">
        <v>18</v>
      </c>
      <c r="R5" s="2">
        <v>19</v>
      </c>
      <c r="S5" s="2">
        <v>20</v>
      </c>
      <c r="T5" s="2">
        <v>21</v>
      </c>
      <c r="U5" s="2">
        <v>22</v>
      </c>
      <c r="V5" s="2">
        <v>23</v>
      </c>
      <c r="W5" s="2">
        <v>24</v>
      </c>
    </row>
    <row r="6" spans="1:25" ht="36" x14ac:dyDescent="0.45">
      <c r="A6" s="12" t="s">
        <v>4</v>
      </c>
      <c r="B6" s="12" t="s">
        <v>5</v>
      </c>
      <c r="C6" s="12" t="s">
        <v>14</v>
      </c>
      <c r="D6" s="12" t="s">
        <v>6</v>
      </c>
      <c r="E6" s="12" t="s">
        <v>7</v>
      </c>
      <c r="F6" s="12" t="s">
        <v>8</v>
      </c>
      <c r="G6" s="12" t="s">
        <v>21</v>
      </c>
      <c r="H6" s="12" t="s">
        <v>54</v>
      </c>
      <c r="I6" s="12" t="s">
        <v>10</v>
      </c>
      <c r="J6" s="12" t="s">
        <v>9</v>
      </c>
      <c r="K6" s="12" t="s">
        <v>76</v>
      </c>
      <c r="L6" s="12" t="s">
        <v>11</v>
      </c>
      <c r="M6" s="12" t="s">
        <v>17</v>
      </c>
      <c r="N6" s="12" t="s">
        <v>16</v>
      </c>
      <c r="O6" s="12" t="s">
        <v>19</v>
      </c>
      <c r="P6" s="12" t="s">
        <v>22</v>
      </c>
      <c r="Q6" s="12" t="s">
        <v>23</v>
      </c>
      <c r="R6" s="12" t="s">
        <v>24</v>
      </c>
      <c r="S6" s="12" t="s">
        <v>25</v>
      </c>
      <c r="T6" s="12" t="s">
        <v>26</v>
      </c>
      <c r="U6" s="12" t="s">
        <v>27</v>
      </c>
      <c r="V6" s="12" t="s">
        <v>77</v>
      </c>
      <c r="W6" s="12" t="s">
        <v>28</v>
      </c>
      <c r="Y6" s="91" t="s">
        <v>78</v>
      </c>
    </row>
    <row r="7" spans="1:25" x14ac:dyDescent="0.45">
      <c r="A7" s="7">
        <v>1001</v>
      </c>
      <c r="B7" s="8" t="str">
        <f>'حکم پرسنلی'!B6</f>
        <v>علی پور گنجی</v>
      </c>
      <c r="C7" s="8">
        <v>31</v>
      </c>
      <c r="D7" s="59">
        <f t="shared" ref="D7:E10" si="0">VLOOKUP($A7,_xlnm.Database,MATCH(D$6,sarsoton,0),0)/30*$C7</f>
        <v>95558585</v>
      </c>
      <c r="E7" s="59">
        <f t="shared" si="0"/>
        <v>34372800</v>
      </c>
      <c r="F7" s="59">
        <f>IFERROR(VLOOKUP($A7,_xlnm.Database,MATCH(F$6,sarsoton,0),0)/30*$C7,0)</f>
        <v>2864400</v>
      </c>
      <c r="G7" s="15">
        <f>SUM(D7:F7)</f>
        <v>132795785</v>
      </c>
      <c r="H7" s="15">
        <f>G7/C7</f>
        <v>4283735</v>
      </c>
      <c r="I7" s="59">
        <f>VLOOKUP($A7,_xlnm.Database,MATCH(I$6,sarsoton,0),0)</f>
        <v>3</v>
      </c>
      <c r="J7" s="60">
        <f>$F$15*I7</f>
        <v>31172903.639999997</v>
      </c>
      <c r="K7" s="59">
        <f>VLOOKUP($A7,_xlnm.Database,MATCH(K$6,sarsoton,0),0)</f>
        <v>5000000</v>
      </c>
      <c r="L7" s="13">
        <f>'حکم پرسنلی'!M6</f>
        <v>31000000</v>
      </c>
      <c r="M7" s="13">
        <v>2</v>
      </c>
      <c r="N7" s="16">
        <f>H7*M7</f>
        <v>8567470</v>
      </c>
      <c r="O7" s="13">
        <v>20</v>
      </c>
      <c r="P7" s="13">
        <f>'حکم پرسنلی'!H6/220*1.4*O7</f>
        <v>16356079.09090909</v>
      </c>
      <c r="Q7" s="13">
        <f>P7+N7+L7+J7+G7+K7</f>
        <v>224892237.73090911</v>
      </c>
      <c r="R7" s="13">
        <f>IF((Q7-N7-J7)&gt;=($S$14*7*C7),$S$14*7*C7,Q7-N7-J7)</f>
        <v>185151864.09090912</v>
      </c>
      <c r="S7" s="16">
        <f>R7*7%</f>
        <v>12960630.48636364</v>
      </c>
      <c r="T7" s="13">
        <f>Q7-N7-S7</f>
        <v>203364137.24454546</v>
      </c>
      <c r="U7" s="13">
        <f>IF(T7&lt;=$N$15,0,IF(T7&lt;=$N$16,(T7-$M$16)*$O$16,IF(T7&lt;=$N$17,(T7-$M$17)*$O$17+$Q$16,IF(T7&lt;=$N$18,(T7-$M$18)*$O$18+$Q$17,IF(T7&lt;=$N$19,(T7-$M$19)*$O$19+$Q$18,IF(T7&gt;$M$20,(T7-$M$20)*$O$20+$Q$19,"chck"))))))</f>
        <v>0</v>
      </c>
      <c r="V7" s="13">
        <f>U7+S7</f>
        <v>12960630.48636364</v>
      </c>
      <c r="W7" s="13">
        <f>Q7-V7</f>
        <v>211931607.24454546</v>
      </c>
      <c r="Y7" s="17">
        <f>L7+K7</f>
        <v>36000000</v>
      </c>
    </row>
    <row r="8" spans="1:25" x14ac:dyDescent="0.45">
      <c r="A8" s="3">
        <v>1002</v>
      </c>
      <c r="B8" s="8" t="str">
        <f>'حکم پرسنلی'!B7</f>
        <v>حسین فنایان</v>
      </c>
      <c r="C8" s="4">
        <v>31</v>
      </c>
      <c r="D8" s="59">
        <f t="shared" si="0"/>
        <v>521126585</v>
      </c>
      <c r="E8" s="59">
        <f t="shared" si="0"/>
        <v>204600000</v>
      </c>
      <c r="F8" s="59">
        <f>IFERROR(VLOOKUP($A8,_xlnm.Database,MATCH(F$6,sarsoton,0),0)/30*$C8,0)</f>
        <v>5778400</v>
      </c>
      <c r="G8" s="15">
        <f t="shared" ref="G8:G10" si="1">SUM(D8:F8)</f>
        <v>731504985</v>
      </c>
      <c r="H8" s="15">
        <f>G8/C8</f>
        <v>23596935</v>
      </c>
      <c r="I8" s="59">
        <f>VLOOKUP($A8,_xlnm.Database,MATCH(I$6,sarsoton,0),0)</f>
        <v>0</v>
      </c>
      <c r="J8" s="60">
        <f t="shared" ref="J8:J10" si="2">$F$15*I8</f>
        <v>0</v>
      </c>
      <c r="K8" s="59">
        <f>VLOOKUP($A8,_xlnm.Database,MATCH(K$6,sarsoton,0),0)</f>
        <v>0</v>
      </c>
      <c r="L8" s="13">
        <f>'حکم پرسنلی'!M7</f>
        <v>31000000</v>
      </c>
      <c r="M8" s="14">
        <v>3</v>
      </c>
      <c r="N8" s="16">
        <f t="shared" ref="N8:N10" si="3">H8*M8</f>
        <v>70790805</v>
      </c>
      <c r="O8" s="14">
        <v>30</v>
      </c>
      <c r="P8" s="13">
        <f>'حکم پرسنلی'!H7/220*1.4*O8</f>
        <v>135146082.27272728</v>
      </c>
      <c r="Q8" s="71">
        <f t="shared" ref="Q8:Q10" si="4">P8+N8+L8+J8+G8+K8</f>
        <v>968441872.27272725</v>
      </c>
      <c r="R8" s="71">
        <f t="shared" ref="R8:R10" si="5">IF((Q8-N8-J8)&gt;=($S$14*7*C8),$S$14*7*C8,Q8-N8-J8)</f>
        <v>751613343.31999993</v>
      </c>
      <c r="S8" s="16">
        <f>R8*7%</f>
        <v>52612934.032399997</v>
      </c>
      <c r="T8" s="13">
        <f t="shared" ref="T8:T10" si="6">Q8-N8-S8</f>
        <v>845038133.24032724</v>
      </c>
      <c r="U8" s="13">
        <f>IF(T8&lt;=$N$15,0,IF(T8&lt;=$N$16,(T8-$M$16)*$O$16,IF(T8&lt;=$N$17,(T8-$M$17)*$O$17+$Q$16,IF(T8&lt;=$N$18,(T8-$M$18)*$O$18+$Q$17,IF(T8&lt;=$N$19,(T8-$M$19)*$O$19+$Q$18,IF(T8&gt;$M$20,(T8-$M$20)*$O$20+$Q$19,"chck"))))))</f>
        <v>137178106.63876483</v>
      </c>
      <c r="V8" s="13">
        <f>U8+S8</f>
        <v>189791040.67116481</v>
      </c>
      <c r="W8" s="13">
        <f>Q8-V8</f>
        <v>778650831.6015625</v>
      </c>
      <c r="Y8" s="17">
        <f t="shared" ref="Y8:Y10" si="7">L8+K8</f>
        <v>31000000</v>
      </c>
    </row>
    <row r="9" spans="1:25" x14ac:dyDescent="0.45">
      <c r="A9" s="3">
        <v>1003</v>
      </c>
      <c r="B9" s="8" t="str">
        <f>'حکم پرسنلی'!B8</f>
        <v>مریم جوهری</v>
      </c>
      <c r="C9" s="4">
        <v>31</v>
      </c>
      <c r="D9" s="59">
        <f t="shared" si="0"/>
        <v>135796585</v>
      </c>
      <c r="E9" s="59">
        <f t="shared" si="0"/>
        <v>50468000</v>
      </c>
      <c r="F9" s="59">
        <f>IFERROR(VLOOKUP($A9,_xlnm.Database,MATCH(F$6,sarsoton,0),0)/30*$C9,0)</f>
        <v>5778400</v>
      </c>
      <c r="G9" s="15">
        <f t="shared" si="1"/>
        <v>192042985</v>
      </c>
      <c r="H9" s="15">
        <f>G9/C9</f>
        <v>6194935</v>
      </c>
      <c r="I9" s="59">
        <f>VLOOKUP($A9,_xlnm.Database,MATCH(I$6,sarsoton,0),0)</f>
        <v>1</v>
      </c>
      <c r="J9" s="60">
        <f t="shared" si="2"/>
        <v>10390967.879999999</v>
      </c>
      <c r="K9" s="59">
        <f>VLOOKUP($A9,_xlnm.Database,MATCH(K$6,sarsoton,0),0)</f>
        <v>5000000</v>
      </c>
      <c r="L9" s="13">
        <f>'حکم پرسنلی'!M8</f>
        <v>31000000</v>
      </c>
      <c r="M9" s="14">
        <v>5</v>
      </c>
      <c r="N9" s="16">
        <f t="shared" si="3"/>
        <v>30974675</v>
      </c>
      <c r="O9" s="14">
        <v>50</v>
      </c>
      <c r="P9" s="13">
        <f>'حکم پرسنلی'!H8/220*1.4*O9</f>
        <v>59133470.454545446</v>
      </c>
      <c r="Q9" s="13">
        <f t="shared" si="4"/>
        <v>328542098.33454543</v>
      </c>
      <c r="R9" s="13">
        <f t="shared" si="5"/>
        <v>287176455.45454544</v>
      </c>
      <c r="S9" s="16">
        <f>R9*7%</f>
        <v>20102351.881818183</v>
      </c>
      <c r="T9" s="13">
        <f t="shared" si="6"/>
        <v>277465071.45272726</v>
      </c>
      <c r="U9" s="13">
        <f>IF(T9&lt;=$N$15,0,IF(T9&lt;=$N$16,(T9-$M$16)*$O$16,IF(T9&lt;=$N$17,(T9-$M$17)*$O$17+$Q$16,IF(T9&lt;=$N$18,(T9-$M$18)*$O$18+$Q$17,IF(T9&lt;=$N$19,(T9-$M$19)*$O$19+$Q$18,IF(T9&gt;$M$20,(T9-$M$20)*$O$20+$Q$19,"chck"))))))</f>
        <v>3746507.1452727262</v>
      </c>
      <c r="V9" s="13">
        <f>U9+S9</f>
        <v>23848859.027090907</v>
      </c>
      <c r="W9" s="13">
        <f>Q9-V9</f>
        <v>304693239.30745453</v>
      </c>
      <c r="Y9" s="17">
        <f t="shared" si="7"/>
        <v>36000000</v>
      </c>
    </row>
    <row r="10" spans="1:25" x14ac:dyDescent="0.45">
      <c r="A10" s="3">
        <v>1004</v>
      </c>
      <c r="B10" s="8" t="str">
        <f>'حکم پرسنلی'!B9</f>
        <v>محمد فیاض یخش</v>
      </c>
      <c r="C10" s="4">
        <v>31</v>
      </c>
      <c r="D10" s="59">
        <f t="shared" si="0"/>
        <v>91466585</v>
      </c>
      <c r="E10" s="59">
        <f t="shared" si="0"/>
        <v>34100000</v>
      </c>
      <c r="F10" s="59">
        <f>IFERROR(VLOOKUP($A10,_xlnm.Database,MATCH(F$6,sarsoton,0),0)/30*$C10,0)</f>
        <v>2864400</v>
      </c>
      <c r="G10" s="15">
        <f t="shared" si="1"/>
        <v>128430985</v>
      </c>
      <c r="H10" s="81">
        <f>G10/C10</f>
        <v>4142935</v>
      </c>
      <c r="I10" s="59">
        <f>VLOOKUP($A10,_xlnm.Database,MATCH(I$6,sarsoton,0),0)</f>
        <v>2</v>
      </c>
      <c r="J10" s="60">
        <f t="shared" si="2"/>
        <v>20781935.759999998</v>
      </c>
      <c r="K10" s="59">
        <f>VLOOKUP($A10,_xlnm.Database,MATCH(K$6,sarsoton,0),0)</f>
        <v>5000000</v>
      </c>
      <c r="L10" s="13">
        <f>'حکم پرسنلی'!M9</f>
        <v>31000000</v>
      </c>
      <c r="M10" s="83">
        <v>30</v>
      </c>
      <c r="N10" s="16">
        <f t="shared" si="3"/>
        <v>124288050</v>
      </c>
      <c r="O10" s="83">
        <v>60</v>
      </c>
      <c r="P10" s="13">
        <f>'حکم پرسنلی'!H9/220*1.4*O10</f>
        <v>47455437.272727266</v>
      </c>
      <c r="Q10" s="82">
        <f t="shared" si="4"/>
        <v>356956408.03272724</v>
      </c>
      <c r="R10" s="13">
        <f t="shared" si="5"/>
        <v>211886422.27272725</v>
      </c>
      <c r="S10" s="84">
        <f>R10*7%</f>
        <v>14832049.559090909</v>
      </c>
      <c r="T10" s="82">
        <f t="shared" si="6"/>
        <v>217836308.47363633</v>
      </c>
      <c r="U10" s="13">
        <f>IF(T10&lt;=$N$15,0,IF(T10&lt;=$N$16,(T10-$M$16)*$O$16,IF(T10&lt;=$N$17,(T10-$M$17)*$O$17+$Q$16,IF(T10&lt;=$N$18,(T10-$M$18)*$O$18+$Q$17,IF(T10&lt;=$N$19,(T10-$M$19)*$O$19+$Q$18,IF(T10&gt;$M$20,(T10-$M$20)*$O$20+$Q$19,"chck"))))))</f>
        <v>0</v>
      </c>
      <c r="V10" s="82">
        <f>U10+S10</f>
        <v>14832049.559090909</v>
      </c>
      <c r="W10" s="82">
        <f>Q10-V10</f>
        <v>342124358.47363633</v>
      </c>
      <c r="Y10" s="17">
        <f t="shared" si="7"/>
        <v>36000000</v>
      </c>
    </row>
    <row r="11" spans="1:25" ht="18.75" thickBot="1" x14ac:dyDescent="0.5">
      <c r="D11" s="85">
        <f t="shared" ref="D11:H11" si="8">SUM(D7:D10)</f>
        <v>843948340</v>
      </c>
      <c r="E11" s="86">
        <f t="shared" si="8"/>
        <v>323540800</v>
      </c>
      <c r="F11" s="86">
        <f t="shared" si="8"/>
        <v>17285600</v>
      </c>
      <c r="G11" s="86">
        <f t="shared" si="8"/>
        <v>1184774740</v>
      </c>
      <c r="H11" s="86">
        <f t="shared" si="8"/>
        <v>38218540</v>
      </c>
      <c r="I11" s="87"/>
      <c r="J11" s="86">
        <f>SUM(J7:J10)</f>
        <v>62345807.279999994</v>
      </c>
      <c r="K11" s="86">
        <f>SUM(K7:K10)</f>
        <v>15000000</v>
      </c>
      <c r="L11" s="86">
        <f>SUM(L7:L10)</f>
        <v>124000000</v>
      </c>
      <c r="M11" s="87"/>
      <c r="N11" s="88">
        <f>SUM(N7:N10)</f>
        <v>234621000</v>
      </c>
      <c r="O11" s="87"/>
      <c r="P11" s="86">
        <f t="shared" ref="P11:W11" si="9">SUM(P7:P10)</f>
        <v>258091069.09090906</v>
      </c>
      <c r="Q11" s="89">
        <f t="shared" si="9"/>
        <v>1878832616.370909</v>
      </c>
      <c r="R11" s="86">
        <f t="shared" si="9"/>
        <v>1435828085.1381817</v>
      </c>
      <c r="S11" s="86">
        <f t="shared" si="9"/>
        <v>100507965.95967273</v>
      </c>
      <c r="T11" s="86">
        <f t="shared" si="9"/>
        <v>1543703650.4112363</v>
      </c>
      <c r="U11" s="86">
        <f t="shared" si="9"/>
        <v>140924613.78403756</v>
      </c>
      <c r="V11" s="86">
        <f t="shared" si="9"/>
        <v>241432579.74371028</v>
      </c>
      <c r="W11" s="86">
        <f t="shared" si="9"/>
        <v>1637400036.6271989</v>
      </c>
    </row>
    <row r="12" spans="1:25" ht="18.75" thickTop="1" x14ac:dyDescent="0.45"/>
    <row r="13" spans="1:25" ht="19.5" customHeight="1" x14ac:dyDescent="0.5">
      <c r="E13" s="18"/>
      <c r="G13" s="18"/>
      <c r="H13" s="18"/>
      <c r="M13" s="112" t="s">
        <v>64</v>
      </c>
      <c r="N13" s="112"/>
      <c r="O13" s="112"/>
      <c r="P13" s="112"/>
    </row>
    <row r="14" spans="1:25" ht="19.5" customHeight="1" x14ac:dyDescent="0.55000000000000004">
      <c r="E14" s="18"/>
      <c r="G14" s="18"/>
      <c r="H14" s="18"/>
      <c r="M14" s="96" t="s">
        <v>50</v>
      </c>
      <c r="N14" s="96" t="s">
        <v>51</v>
      </c>
      <c r="O14" s="96" t="s">
        <v>52</v>
      </c>
      <c r="P14" s="96" t="s">
        <v>53</v>
      </c>
      <c r="Q14" s="96" t="s">
        <v>91</v>
      </c>
      <c r="R14" s="100" t="s">
        <v>29</v>
      </c>
      <c r="S14" s="19">
        <f>I15</f>
        <v>3463655.96</v>
      </c>
    </row>
    <row r="15" spans="1:25" ht="20.25" x14ac:dyDescent="0.55000000000000004">
      <c r="E15" s="20" t="s">
        <v>15</v>
      </c>
      <c r="F15" s="67">
        <f>I15*3</f>
        <v>10390967.879999999</v>
      </c>
      <c r="G15" s="20"/>
      <c r="H15" s="20"/>
      <c r="I15" s="20">
        <f>'حکم پرسنلی'!H22</f>
        <v>3463655.96</v>
      </c>
      <c r="M15" s="97">
        <v>0</v>
      </c>
      <c r="N15" s="97">
        <v>240000000</v>
      </c>
      <c r="O15" s="98">
        <v>0</v>
      </c>
      <c r="P15" s="105">
        <f>(N15-M15)*O15</f>
        <v>0</v>
      </c>
      <c r="Q15" s="105">
        <f>P15</f>
        <v>0</v>
      </c>
      <c r="R15" s="100" t="s">
        <v>30</v>
      </c>
      <c r="S15" s="21">
        <f>S14*7</f>
        <v>24245591.719999999</v>
      </c>
      <c r="U15" s="112" t="s">
        <v>31</v>
      </c>
      <c r="V15" s="112"/>
      <c r="W15" s="112"/>
    </row>
    <row r="16" spans="1:25" ht="36.75" customHeight="1" x14ac:dyDescent="0.55000000000000004">
      <c r="E16" s="18"/>
      <c r="F16" s="73"/>
      <c r="G16" s="74"/>
      <c r="H16" s="74"/>
      <c r="I16" s="75"/>
      <c r="L16" s="17"/>
      <c r="M16" s="97">
        <v>240000000</v>
      </c>
      <c r="N16" s="97">
        <v>300000000</v>
      </c>
      <c r="O16" s="98">
        <v>0.1</v>
      </c>
      <c r="P16" s="105">
        <f t="shared" ref="P16:P20" si="10">(N16-M16)*O16</f>
        <v>6000000</v>
      </c>
      <c r="Q16" s="105">
        <f>Q15+P16</f>
        <v>6000000</v>
      </c>
      <c r="R16" s="101" t="s">
        <v>48</v>
      </c>
      <c r="S16" s="68">
        <f>S15*31</f>
        <v>751613343.31999993</v>
      </c>
      <c r="U16" s="25" t="s">
        <v>32</v>
      </c>
      <c r="V16" s="26" t="s">
        <v>33</v>
      </c>
      <c r="W16" s="27" t="s">
        <v>34</v>
      </c>
    </row>
    <row r="17" spans="4:24" ht="19.5" x14ac:dyDescent="0.55000000000000004">
      <c r="F17" s="76"/>
      <c r="G17" s="77"/>
      <c r="H17" s="78"/>
      <c r="I17" s="79"/>
      <c r="K17" s="92"/>
      <c r="L17" s="17"/>
      <c r="M17" s="97">
        <v>300000000</v>
      </c>
      <c r="N17" s="97">
        <v>380000000</v>
      </c>
      <c r="O17" s="98">
        <v>0.15</v>
      </c>
      <c r="P17" s="105">
        <f t="shared" si="10"/>
        <v>12000000</v>
      </c>
      <c r="Q17" s="105">
        <f t="shared" ref="Q17:Q20" si="11">Q16+P17</f>
        <v>18000000</v>
      </c>
      <c r="U17" s="12" t="s">
        <v>6</v>
      </c>
      <c r="V17" s="19">
        <f>D11</f>
        <v>843948340</v>
      </c>
      <c r="W17" s="19"/>
    </row>
    <row r="18" spans="4:24" ht="19.5" x14ac:dyDescent="0.55000000000000004">
      <c r="D18" s="70"/>
      <c r="M18" s="97">
        <v>380000000</v>
      </c>
      <c r="N18" s="97">
        <v>500000000</v>
      </c>
      <c r="O18" s="98">
        <v>0.2</v>
      </c>
      <c r="P18" s="105">
        <f t="shared" si="10"/>
        <v>24000000</v>
      </c>
      <c r="Q18" s="105">
        <f t="shared" si="11"/>
        <v>42000000</v>
      </c>
      <c r="U18" s="12" t="s">
        <v>7</v>
      </c>
      <c r="V18" s="19">
        <f>E11</f>
        <v>323540800</v>
      </c>
      <c r="W18" s="19"/>
    </row>
    <row r="19" spans="4:24" ht="19.5" x14ac:dyDescent="0.55000000000000004">
      <c r="D19" s="70"/>
      <c r="K19" s="69"/>
      <c r="L19" s="17"/>
      <c r="M19" s="97">
        <v>500000000</v>
      </c>
      <c r="N19" s="97">
        <v>666666666.66666663</v>
      </c>
      <c r="O19" s="98">
        <v>0.25</v>
      </c>
      <c r="P19" s="105">
        <f t="shared" si="10"/>
        <v>41666666.666666657</v>
      </c>
      <c r="Q19" s="105">
        <f t="shared" si="11"/>
        <v>83666666.666666657</v>
      </c>
      <c r="R19" s="17"/>
      <c r="U19" s="12" t="s">
        <v>8</v>
      </c>
      <c r="V19" s="19">
        <f>F11</f>
        <v>17285600</v>
      </c>
      <c r="W19" s="19"/>
    </row>
    <row r="20" spans="4:24" ht="19.5" x14ac:dyDescent="0.55000000000000004">
      <c r="D20" s="70"/>
      <c r="M20" s="97">
        <v>666666666.66666663</v>
      </c>
      <c r="N20" s="97"/>
      <c r="O20" s="98">
        <v>0.3</v>
      </c>
      <c r="P20" s="105">
        <f t="shared" si="10"/>
        <v>-199999999.99999997</v>
      </c>
      <c r="Q20" s="105">
        <f t="shared" si="11"/>
        <v>-116333333.33333331</v>
      </c>
      <c r="R20" s="22"/>
      <c r="U20" s="12" t="s">
        <v>9</v>
      </c>
      <c r="V20" s="19">
        <f>J11</f>
        <v>62345807.279999994</v>
      </c>
      <c r="W20" s="19"/>
    </row>
    <row r="21" spans="4:24" ht="27.75" customHeight="1" x14ac:dyDescent="0.45">
      <c r="D21" s="70"/>
      <c r="M21" s="102"/>
      <c r="N21" s="103"/>
      <c r="O21" s="104"/>
      <c r="P21" s="102"/>
      <c r="R21" s="69"/>
      <c r="U21" s="24" t="str">
        <f>K6</f>
        <v>حق تاهل</v>
      </c>
      <c r="V21" s="80">
        <f>K11</f>
        <v>15000000</v>
      </c>
      <c r="W21" s="24"/>
    </row>
    <row r="22" spans="4:24" ht="36" x14ac:dyDescent="0.45">
      <c r="D22" s="70"/>
      <c r="R22" s="69"/>
      <c r="U22" s="12" t="s">
        <v>11</v>
      </c>
      <c r="V22" s="19">
        <f>L11</f>
        <v>124000000</v>
      </c>
      <c r="W22" s="19"/>
    </row>
    <row r="23" spans="4:24" ht="19.5" x14ac:dyDescent="0.55000000000000004">
      <c r="M23" s="113" t="s">
        <v>90</v>
      </c>
      <c r="N23" s="114"/>
      <c r="O23" s="115"/>
      <c r="P23" s="95"/>
      <c r="Q23" s="95"/>
      <c r="U23" s="12" t="s">
        <v>16</v>
      </c>
      <c r="V23" s="19">
        <f>N11</f>
        <v>234621000</v>
      </c>
      <c r="W23" s="19"/>
    </row>
    <row r="24" spans="4:24" ht="19.5" x14ac:dyDescent="0.55000000000000004">
      <c r="M24" s="96" t="s">
        <v>50</v>
      </c>
      <c r="N24" s="96" t="s">
        <v>51</v>
      </c>
      <c r="O24" s="96" t="s">
        <v>52</v>
      </c>
      <c r="P24" s="95" t="s">
        <v>53</v>
      </c>
      <c r="Q24" s="95" t="s">
        <v>91</v>
      </c>
      <c r="S24" s="22"/>
      <c r="U24" s="12" t="s">
        <v>22</v>
      </c>
      <c r="V24" s="19">
        <f>P11</f>
        <v>258091069.09090906</v>
      </c>
      <c r="W24" s="19"/>
    </row>
    <row r="25" spans="4:24" ht="19.5" x14ac:dyDescent="0.55000000000000004">
      <c r="M25" s="97">
        <v>0</v>
      </c>
      <c r="N25" s="97">
        <v>240000000</v>
      </c>
      <c r="O25" s="98">
        <v>0</v>
      </c>
      <c r="P25" s="99">
        <f>(N25-M25)*O25</f>
        <v>0</v>
      </c>
      <c r="Q25" s="99">
        <f>P25</f>
        <v>0</v>
      </c>
      <c r="U25" s="65" t="s">
        <v>35</v>
      </c>
      <c r="V25" s="19">
        <f>R11*0.23</f>
        <v>330240459.5817818</v>
      </c>
      <c r="W25" s="19"/>
    </row>
    <row r="26" spans="4:24" ht="19.5" x14ac:dyDescent="0.55000000000000004">
      <c r="M26" s="97">
        <v>240000000</v>
      </c>
      <c r="N26" s="97">
        <v>300000000</v>
      </c>
      <c r="O26" s="98">
        <v>0.1</v>
      </c>
      <c r="P26" s="99">
        <f t="shared" ref="P26:P30" si="12">(N26-M26)*O26</f>
        <v>6000000</v>
      </c>
      <c r="Q26" s="99">
        <f>Q25+P26</f>
        <v>6000000</v>
      </c>
      <c r="U26" s="24" t="s">
        <v>36</v>
      </c>
      <c r="V26" s="19"/>
      <c r="W26" s="19">
        <f>U11</f>
        <v>140924613.78403756</v>
      </c>
    </row>
    <row r="27" spans="4:24" ht="19.5" x14ac:dyDescent="0.55000000000000004">
      <c r="M27" s="97">
        <v>300000000</v>
      </c>
      <c r="N27" s="97">
        <v>380000000</v>
      </c>
      <c r="O27" s="98">
        <v>0.15</v>
      </c>
      <c r="P27" s="99">
        <f t="shared" si="12"/>
        <v>12000000</v>
      </c>
      <c r="Q27" s="99">
        <f t="shared" ref="Q27:Q30" si="13">Q26+P27</f>
        <v>18000000</v>
      </c>
      <c r="U27" s="24" t="s">
        <v>37</v>
      </c>
      <c r="V27" s="19"/>
      <c r="W27" s="19">
        <f>V25+S11</f>
        <v>430748425.54145455</v>
      </c>
      <c r="X27" s="1" t="s">
        <v>69</v>
      </c>
    </row>
    <row r="28" spans="4:24" ht="19.5" x14ac:dyDescent="0.55000000000000004">
      <c r="M28" s="97">
        <v>380000000</v>
      </c>
      <c r="N28" s="97">
        <v>500000000</v>
      </c>
      <c r="O28" s="98">
        <v>0.2</v>
      </c>
      <c r="P28" s="99">
        <f t="shared" si="12"/>
        <v>24000000</v>
      </c>
      <c r="Q28" s="99">
        <f t="shared" si="13"/>
        <v>42000000</v>
      </c>
      <c r="U28" s="24" t="s">
        <v>38</v>
      </c>
      <c r="V28" s="19"/>
      <c r="W28" s="19">
        <f>W11</f>
        <v>1637400036.6271989</v>
      </c>
    </row>
    <row r="29" spans="4:24" ht="19.5" x14ac:dyDescent="0.55000000000000004">
      <c r="M29" s="97">
        <v>500000000</v>
      </c>
      <c r="N29" s="97">
        <v>666666666.66666663</v>
      </c>
      <c r="O29" s="98">
        <v>0.25</v>
      </c>
      <c r="P29" s="99">
        <f t="shared" si="12"/>
        <v>41666666.666666657</v>
      </c>
      <c r="Q29" s="99">
        <f t="shared" si="13"/>
        <v>83666666.666666657</v>
      </c>
      <c r="V29" s="17">
        <f>SUM(V17:V28)</f>
        <v>2209073075.9526906</v>
      </c>
      <c r="W29" s="17">
        <f>SUM(W17:W28)</f>
        <v>2209073075.9526911</v>
      </c>
    </row>
    <row r="30" spans="4:24" ht="19.5" x14ac:dyDescent="0.55000000000000004">
      <c r="M30" s="97">
        <v>666666666.66666663</v>
      </c>
      <c r="N30" s="97"/>
      <c r="O30" s="98">
        <v>0.3</v>
      </c>
      <c r="P30" s="99">
        <f t="shared" si="12"/>
        <v>-199999999.99999997</v>
      </c>
      <c r="Q30" s="99">
        <f t="shared" si="13"/>
        <v>-116333333.33333331</v>
      </c>
      <c r="W30" s="17">
        <f>W29-V29</f>
        <v>0</v>
      </c>
    </row>
  </sheetData>
  <mergeCells count="3">
    <mergeCell ref="U15:W15"/>
    <mergeCell ref="M13:P13"/>
    <mergeCell ref="M23:O23"/>
  </mergeCells>
  <pageMargins left="0.19685039370078741" right="0.19685039370078741" top="0.35433070866141736" bottom="0.33" header="0.19685039370078741" footer="0.2"/>
  <pageSetup paperSize="9"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0"/>
  <sheetViews>
    <sheetView rightToLeft="1" zoomScale="130" zoomScaleNormal="130" workbookViewId="0">
      <selection activeCell="A13" sqref="A13"/>
    </sheetView>
  </sheetViews>
  <sheetFormatPr defaultColWidth="9" defaultRowHeight="18" x14ac:dyDescent="0.45"/>
  <cols>
    <col min="1" max="1" width="16.28515625" style="1" customWidth="1"/>
    <col min="2" max="2" width="14.7109375" style="1" bestFit="1" customWidth="1"/>
    <col min="3" max="3" width="16" style="1" customWidth="1"/>
    <col min="4" max="4" width="14.28515625" style="1" customWidth="1"/>
    <col min="5" max="5" width="9" style="1"/>
    <col min="6" max="6" width="13.7109375" style="1" bestFit="1" customWidth="1"/>
    <col min="7" max="7" width="13.140625" style="1" bestFit="1" customWidth="1"/>
    <col min="8" max="8" width="11.7109375" style="1" customWidth="1"/>
    <col min="9" max="16384" width="9" style="1"/>
  </cols>
  <sheetData>
    <row r="1" spans="1:10" ht="24.75" customHeight="1" x14ac:dyDescent="0.5">
      <c r="A1" s="116" t="str">
        <f>'کارکرد فروردین'!A1</f>
        <v>آکادمی آموزش تخصصی</v>
      </c>
      <c r="B1" s="116"/>
      <c r="C1" s="116"/>
      <c r="D1" s="116"/>
      <c r="E1" s="116"/>
      <c r="F1" s="116"/>
      <c r="J1" s="72">
        <v>5</v>
      </c>
    </row>
    <row r="2" spans="1:10" ht="15" customHeight="1" x14ac:dyDescent="0.5">
      <c r="A2" s="116" t="s">
        <v>39</v>
      </c>
      <c r="B2" s="116"/>
      <c r="C2" s="116"/>
      <c r="D2" s="116"/>
      <c r="E2" s="116"/>
      <c r="F2" s="116"/>
    </row>
    <row r="3" spans="1:10" ht="15" customHeight="1" thickBot="1" x14ac:dyDescent="0.55000000000000004">
      <c r="A3" s="116" t="s">
        <v>75</v>
      </c>
      <c r="B3" s="116"/>
      <c r="C3" s="116"/>
      <c r="D3" s="116"/>
      <c r="E3" s="116"/>
      <c r="F3" s="116"/>
    </row>
    <row r="4" spans="1:10" ht="24.75" customHeight="1" x14ac:dyDescent="0.45">
      <c r="A4" s="45" t="s">
        <v>40</v>
      </c>
      <c r="B4" s="46"/>
      <c r="C4" s="46"/>
      <c r="D4" s="46" t="s">
        <v>4</v>
      </c>
      <c r="E4" s="46">
        <v>1002</v>
      </c>
      <c r="F4" s="47"/>
    </row>
    <row r="5" spans="1:10" ht="18.75" thickBot="1" x14ac:dyDescent="0.5">
      <c r="A5" s="48" t="s">
        <v>5</v>
      </c>
      <c r="B5" s="49" t="str">
        <f>VLOOKUP(E4,'کارکرد فروردین'!A6:B10,2,0)</f>
        <v>حسین فنایان</v>
      </c>
      <c r="C5" s="49"/>
      <c r="D5" s="49"/>
      <c r="E5" s="49"/>
      <c r="F5" s="50"/>
    </row>
    <row r="6" spans="1:10" ht="6" customHeight="1" thickBot="1" x14ac:dyDescent="0.5"/>
    <row r="7" spans="1:10" ht="18.75" thickBot="1" x14ac:dyDescent="0.5">
      <c r="A7" s="35" t="s">
        <v>41</v>
      </c>
      <c r="B7" s="36"/>
      <c r="C7" s="36"/>
      <c r="D7" s="36"/>
      <c r="E7" s="36"/>
      <c r="F7" s="37"/>
    </row>
    <row r="8" spans="1:10" x14ac:dyDescent="0.45">
      <c r="A8" s="30" t="s">
        <v>42</v>
      </c>
      <c r="B8" s="31"/>
      <c r="C8" s="32"/>
      <c r="D8" s="30" t="s">
        <v>43</v>
      </c>
      <c r="E8" s="31"/>
      <c r="F8" s="32"/>
    </row>
    <row r="9" spans="1:10" ht="19.5" x14ac:dyDescent="0.5">
      <c r="A9" s="28" t="s">
        <v>6</v>
      </c>
      <c r="B9" s="92"/>
      <c r="C9" s="39">
        <f>VLOOKUP($E$4,karkard,MATCH(A9,'کارکرد فروردین'!$A$6:$W$6,0),0)</f>
        <v>521126585</v>
      </c>
      <c r="D9" s="40" t="str">
        <f>'کارکرد فروردین'!S6</f>
        <v>بیمه سهم کارمند</v>
      </c>
      <c r="F9" s="39">
        <f>VLOOKUP($E$4,karkard,MATCH(D9,'کارکرد فروردین'!$A$6:$W$6,0),0)</f>
        <v>52612934.032399997</v>
      </c>
    </row>
    <row r="10" spans="1:10" ht="19.5" x14ac:dyDescent="0.5">
      <c r="A10" s="28" t="s">
        <v>7</v>
      </c>
      <c r="B10" s="92"/>
      <c r="C10" s="39">
        <f>VLOOKUP($E$4,karkard,MATCH(A10,'کارکرد فروردین'!$A$6:$W$6,0),0)</f>
        <v>204600000</v>
      </c>
      <c r="D10" s="40" t="str">
        <f>'کارکرد فروردین'!U6</f>
        <v>مالیات</v>
      </c>
      <c r="F10" s="39">
        <f>VLOOKUP($E$4,karkard,MATCH(D10,'کارکرد فروردین'!$A$6:$W$6,0),0)</f>
        <v>137178106.63876483</v>
      </c>
    </row>
    <row r="11" spans="1:10" x14ac:dyDescent="0.45">
      <c r="A11" s="28" t="s">
        <v>8</v>
      </c>
      <c r="B11" s="92"/>
      <c r="C11" s="39">
        <f>VLOOKUP($E$4,karkard,MATCH(A11,'کارکرد فروردین'!$A$6:$W$6,0),0)</f>
        <v>5778400</v>
      </c>
      <c r="D11" s="38"/>
      <c r="F11" s="39"/>
    </row>
    <row r="12" spans="1:10" x14ac:dyDescent="0.45">
      <c r="A12" s="28" t="s">
        <v>9</v>
      </c>
      <c r="B12" s="92"/>
      <c r="C12" s="39">
        <f>VLOOKUP($E$4,karkard,MATCH(A12,'کارکرد فروردین'!$A$6:$W$6,0),0)</f>
        <v>0</v>
      </c>
      <c r="D12" s="38"/>
      <c r="F12" s="39"/>
    </row>
    <row r="13" spans="1:10" x14ac:dyDescent="0.45">
      <c r="A13" s="28" t="s">
        <v>76</v>
      </c>
      <c r="B13" s="92"/>
      <c r="C13" s="39">
        <f>VLOOKUP($E$4,karkard,MATCH(A13,'کارکرد فروردین'!$A$6:$W$6,0),0)</f>
        <v>0</v>
      </c>
      <c r="D13" s="38"/>
      <c r="F13" s="39"/>
    </row>
    <row r="14" spans="1:10" x14ac:dyDescent="0.45">
      <c r="A14" s="28" t="s">
        <v>11</v>
      </c>
      <c r="B14" s="92"/>
      <c r="C14" s="39">
        <f>VLOOKUP($E$4,karkard,MATCH(A14,'کارکرد فروردین'!$A$6:$W$6,0),0)</f>
        <v>31000000</v>
      </c>
      <c r="D14" s="38"/>
      <c r="F14" s="39"/>
    </row>
    <row r="15" spans="1:10" x14ac:dyDescent="0.45">
      <c r="A15" s="28" t="s">
        <v>16</v>
      </c>
      <c r="C15" s="39">
        <f>VLOOKUP($E$4,karkard,MATCH(A15,'کارکرد فروردین'!$A$6:$W$6,0),0)</f>
        <v>70790805</v>
      </c>
      <c r="D15" s="38"/>
      <c r="F15" s="39"/>
    </row>
    <row r="16" spans="1:10" ht="18.75" thickBot="1" x14ac:dyDescent="0.5">
      <c r="A16" s="29" t="s">
        <v>22</v>
      </c>
      <c r="B16" s="34"/>
      <c r="C16" s="39">
        <f>VLOOKUP($E$4,karkard,MATCH(A16,'کارکرد فروردین'!$A$6:$W$6,0),0)</f>
        <v>135146082.27272728</v>
      </c>
      <c r="D16" s="33"/>
      <c r="E16" s="34"/>
      <c r="F16" s="39"/>
    </row>
    <row r="17" spans="1:7" ht="20.25" thickBot="1" x14ac:dyDescent="0.55000000000000004">
      <c r="A17" s="41" t="s">
        <v>45</v>
      </c>
      <c r="B17" s="42"/>
      <c r="C17" s="42">
        <f>SUM(C9:C16)</f>
        <v>968441872.27272725</v>
      </c>
      <c r="D17" s="43" t="s">
        <v>46</v>
      </c>
      <c r="E17" s="43"/>
      <c r="F17" s="44">
        <f>SUM(F9:F16)</f>
        <v>189791040.67116481</v>
      </c>
    </row>
    <row r="18" spans="1:7" x14ac:dyDescent="0.45">
      <c r="A18" s="51" t="s">
        <v>28</v>
      </c>
      <c r="B18" s="52">
        <f>ROUNDUP(C17-F17,0)</f>
        <v>778650832</v>
      </c>
      <c r="C18" s="52"/>
      <c r="D18" s="53"/>
      <c r="E18" s="53"/>
      <c r="F18" s="54"/>
      <c r="G18" s="90"/>
    </row>
    <row r="19" spans="1:7" ht="18.75" thickBot="1" x14ac:dyDescent="0.5">
      <c r="A19" s="55" t="s">
        <v>44</v>
      </c>
      <c r="B19" s="56" t="str" cm="1">
        <f t="array" ref="B19">[1]!AbH(B18)&amp;" ریال "</f>
        <v xml:space="preserve">هفتصد و هفتاد و هشت ميليون و ششصد و پنجاه هزار و هشتصد و سي و دو ریال </v>
      </c>
      <c r="C19" s="56"/>
      <c r="D19" s="56"/>
      <c r="E19" s="56"/>
      <c r="F19" s="57"/>
    </row>
    <row r="20" spans="1:7" x14ac:dyDescent="0.45">
      <c r="C20" s="23"/>
    </row>
  </sheetData>
  <mergeCells count="3">
    <mergeCell ref="A1:F1"/>
    <mergeCell ref="A2:F2"/>
    <mergeCell ref="A3:F3"/>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Spinner 2">
              <controlPr defaultSize="0" autoPict="0">
                <anchor moveWithCells="1" sizeWithCells="1">
                  <from>
                    <xdr:col>7</xdr:col>
                    <xdr:colOff>85725</xdr:colOff>
                    <xdr:row>3</xdr:row>
                    <xdr:rowOff>19050</xdr:rowOff>
                  </from>
                  <to>
                    <xdr:col>8</xdr:col>
                    <xdr:colOff>552450</xdr:colOff>
                    <xdr:row>8</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968A2-3887-46E7-9FA4-BD8D7D40378E}">
  <dimension ref="B2:F16"/>
  <sheetViews>
    <sheetView rightToLeft="1" tabSelected="1" topLeftCell="A7" zoomScale="210" zoomScaleNormal="210" workbookViewId="0">
      <selection activeCell="E17" sqref="E17"/>
    </sheetView>
  </sheetViews>
  <sheetFormatPr defaultRowHeight="15" x14ac:dyDescent="0.25"/>
  <cols>
    <col min="3" max="3" width="30" bestFit="1" customWidth="1"/>
    <col min="4" max="4" width="13.85546875" customWidth="1"/>
    <col min="5" max="5" width="14.28515625" style="118" customWidth="1"/>
  </cols>
  <sheetData>
    <row r="2" spans="2:6" x14ac:dyDescent="0.25">
      <c r="B2" s="117">
        <v>1</v>
      </c>
      <c r="C2" s="117" t="s">
        <v>99</v>
      </c>
    </row>
    <row r="3" spans="2:6" x14ac:dyDescent="0.25">
      <c r="B3" s="117">
        <v>2</v>
      </c>
      <c r="C3" s="117" t="s">
        <v>100</v>
      </c>
    </row>
    <row r="4" spans="2:6" x14ac:dyDescent="0.25">
      <c r="B4" s="117">
        <v>3</v>
      </c>
      <c r="C4" s="117" t="s">
        <v>101</v>
      </c>
    </row>
    <row r="5" spans="2:6" x14ac:dyDescent="0.25">
      <c r="B5" s="117">
        <v>4</v>
      </c>
      <c r="C5" s="117">
        <v>0</v>
      </c>
    </row>
    <row r="8" spans="2:6" ht="36" x14ac:dyDescent="0.25">
      <c r="C8" s="12"/>
      <c r="D8" s="12" t="s">
        <v>5</v>
      </c>
      <c r="E8" s="118" t="s">
        <v>6</v>
      </c>
      <c r="F8" s="12" t="s">
        <v>4</v>
      </c>
    </row>
    <row r="9" spans="2:6" ht="18" x14ac:dyDescent="0.45">
      <c r="C9" s="7"/>
      <c r="D9" s="8" t="s">
        <v>12</v>
      </c>
      <c r="E9" s="118">
        <v>95558585</v>
      </c>
      <c r="F9" s="7">
        <v>1001</v>
      </c>
    </row>
    <row r="10" spans="2:6" ht="18" x14ac:dyDescent="0.45">
      <c r="C10" s="3"/>
      <c r="D10" s="8" t="s">
        <v>13</v>
      </c>
      <c r="E10" s="118">
        <v>521126585</v>
      </c>
      <c r="F10" s="3">
        <v>1002</v>
      </c>
    </row>
    <row r="11" spans="2:6" ht="18" x14ac:dyDescent="0.45">
      <c r="C11" s="3"/>
      <c r="D11" s="8" t="s">
        <v>67</v>
      </c>
      <c r="E11" s="118">
        <v>135796585</v>
      </c>
      <c r="F11" s="3">
        <v>1003</v>
      </c>
    </row>
    <row r="12" spans="2:6" ht="18" x14ac:dyDescent="0.45">
      <c r="C12" s="3"/>
      <c r="D12" s="8" t="s">
        <v>68</v>
      </c>
      <c r="E12" s="118">
        <v>91466585</v>
      </c>
      <c r="F12" s="3">
        <v>1004</v>
      </c>
    </row>
    <row r="15" spans="2:6" ht="36" x14ac:dyDescent="0.25">
      <c r="B15" s="12" t="s">
        <v>4</v>
      </c>
      <c r="C15" s="12" t="s">
        <v>5</v>
      </c>
    </row>
    <row r="16" spans="2:6" ht="18" x14ac:dyDescent="0.45">
      <c r="B16" s="7">
        <v>1001</v>
      </c>
      <c r="C16" s="8" t="str">
        <f>_xlfn.XLOOKUP(B16,F:F,D:D)</f>
        <v>علی پور گنجی</v>
      </c>
      <c r="E16" s="118" t="s">
        <v>102</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E8B244-1552-403F-A2CF-1EF605FEF4B9}">
  <dimension ref="A1:Z30"/>
  <sheetViews>
    <sheetView rightToLeft="1" topLeftCell="K1" zoomScale="110" zoomScaleNormal="110" workbookViewId="0">
      <selection activeCell="W31" sqref="W31"/>
    </sheetView>
  </sheetViews>
  <sheetFormatPr defaultColWidth="9" defaultRowHeight="18" x14ac:dyDescent="0.45"/>
  <cols>
    <col min="1" max="1" width="9" style="1"/>
    <col min="2" max="2" width="20.28515625" style="1" customWidth="1"/>
    <col min="3" max="3" width="9" style="1"/>
    <col min="4" max="4" width="14.140625" style="1" bestFit="1" customWidth="1"/>
    <col min="5" max="5" width="15.28515625" style="1" customWidth="1"/>
    <col min="6" max="6" width="12.42578125" style="1" customWidth="1"/>
    <col min="7" max="7" width="14.5703125" style="1" customWidth="1"/>
    <col min="8" max="8" width="13.140625" style="1" customWidth="1"/>
    <col min="9" max="9" width="10.7109375" style="1" customWidth="1"/>
    <col min="10" max="10" width="12.7109375" style="1" customWidth="1"/>
    <col min="11" max="11" width="12.5703125" style="1" customWidth="1"/>
    <col min="12" max="12" width="14.85546875" style="1" customWidth="1"/>
    <col min="13" max="13" width="12.42578125" style="1" customWidth="1"/>
    <col min="14" max="14" width="13.42578125" style="1" customWidth="1"/>
    <col min="15" max="15" width="9" style="1"/>
    <col min="16" max="16" width="14.28515625" style="1" customWidth="1"/>
    <col min="17" max="17" width="14.140625" style="1" bestFit="1" customWidth="1"/>
    <col min="18" max="18" width="17.28515625" style="1" customWidth="1"/>
    <col min="19" max="19" width="14" style="1" bestFit="1" customWidth="1"/>
    <col min="20" max="20" width="15.42578125" style="1" customWidth="1"/>
    <col min="21" max="21" width="13.28515625" style="1" customWidth="1"/>
    <col min="22" max="22" width="13.7109375" style="1" customWidth="1"/>
    <col min="23" max="23" width="14.42578125" style="1" customWidth="1"/>
    <col min="24" max="24" width="15.28515625" style="1" customWidth="1"/>
    <col min="25" max="25" width="13.7109375" style="1" bestFit="1" customWidth="1"/>
    <col min="26" max="26" width="14.140625" style="1" bestFit="1" customWidth="1"/>
    <col min="27" max="16384" width="9" style="1"/>
  </cols>
  <sheetData>
    <row r="1" spans="1:26" ht="19.5" x14ac:dyDescent="0.5">
      <c r="A1" s="2" t="str">
        <f>'حکم پرسنلی'!$A$1</f>
        <v>آکادمی آموزش تخصصی</v>
      </c>
      <c r="B1" s="2"/>
      <c r="C1" s="2"/>
      <c r="D1" s="2"/>
      <c r="E1" s="2"/>
      <c r="F1" s="2"/>
      <c r="G1" s="2"/>
      <c r="H1" s="2"/>
      <c r="I1" s="2"/>
      <c r="J1" s="2"/>
      <c r="K1" s="2"/>
      <c r="L1" s="2"/>
    </row>
    <row r="2" spans="1:26" ht="19.5" x14ac:dyDescent="0.5">
      <c r="A2" s="2"/>
      <c r="B2" s="2" t="s">
        <v>0</v>
      </c>
      <c r="C2" s="2"/>
      <c r="D2" s="2"/>
      <c r="E2" s="2"/>
      <c r="F2" s="2"/>
      <c r="G2" s="2"/>
      <c r="H2" s="2"/>
      <c r="I2" s="2" t="s">
        <v>2</v>
      </c>
      <c r="J2" s="2"/>
      <c r="K2" s="2"/>
      <c r="L2" s="2"/>
    </row>
    <row r="3" spans="1:26" ht="19.5" x14ac:dyDescent="0.5">
      <c r="A3" s="2"/>
      <c r="B3" s="2" t="s">
        <v>88</v>
      </c>
      <c r="C3" s="2"/>
      <c r="D3" s="2"/>
      <c r="E3" s="2"/>
      <c r="F3" s="2"/>
      <c r="G3" s="2"/>
      <c r="H3" s="2"/>
      <c r="I3" s="2" t="s">
        <v>89</v>
      </c>
      <c r="J3" s="2"/>
      <c r="K3" s="2"/>
      <c r="L3" s="2"/>
    </row>
    <row r="4" spans="1:26" ht="19.5" x14ac:dyDescent="0.5">
      <c r="A4" s="2"/>
      <c r="B4" s="2">
        <f>'حکم پرسنلی'!B4</f>
        <v>0</v>
      </c>
      <c r="C4" s="2"/>
      <c r="D4" s="2"/>
      <c r="E4" s="2"/>
      <c r="F4" s="2"/>
      <c r="G4" s="2"/>
      <c r="H4" s="2"/>
      <c r="I4" s="2" t="s">
        <v>3</v>
      </c>
      <c r="J4" s="2"/>
      <c r="K4" s="2"/>
      <c r="L4" s="2"/>
    </row>
    <row r="5" spans="1:26" ht="19.5" x14ac:dyDescent="0.5">
      <c r="A5" s="2">
        <v>1</v>
      </c>
      <c r="B5" s="2">
        <v>2</v>
      </c>
      <c r="C5" s="2">
        <v>3</v>
      </c>
      <c r="D5" s="2">
        <v>4</v>
      </c>
      <c r="E5" s="2">
        <v>5</v>
      </c>
      <c r="F5" s="2">
        <v>6</v>
      </c>
      <c r="G5" s="2">
        <v>8</v>
      </c>
      <c r="H5" s="2">
        <v>9</v>
      </c>
      <c r="I5" s="2">
        <v>10</v>
      </c>
      <c r="J5" s="2">
        <v>11</v>
      </c>
      <c r="K5" s="2">
        <v>12</v>
      </c>
      <c r="L5" s="2">
        <v>13</v>
      </c>
      <c r="M5" s="2">
        <v>14</v>
      </c>
      <c r="N5" s="2">
        <v>15</v>
      </c>
      <c r="O5" s="2">
        <v>16</v>
      </c>
      <c r="P5" s="2">
        <v>17</v>
      </c>
      <c r="Q5" s="2">
        <v>18</v>
      </c>
      <c r="R5" s="2">
        <v>19</v>
      </c>
      <c r="S5" s="2">
        <v>20</v>
      </c>
      <c r="T5" s="2">
        <v>21</v>
      </c>
      <c r="U5" s="2">
        <v>22</v>
      </c>
      <c r="V5" s="2">
        <v>23</v>
      </c>
      <c r="W5" s="2">
        <v>24</v>
      </c>
    </row>
    <row r="6" spans="1:26" ht="36" x14ac:dyDescent="0.45">
      <c r="A6" s="12" t="s">
        <v>4</v>
      </c>
      <c r="B6" s="12" t="s">
        <v>5</v>
      </c>
      <c r="C6" s="12" t="s">
        <v>14</v>
      </c>
      <c r="D6" s="12" t="s">
        <v>6</v>
      </c>
      <c r="E6" s="12" t="s">
        <v>7</v>
      </c>
      <c r="F6" s="12" t="s">
        <v>8</v>
      </c>
      <c r="G6" s="12" t="s">
        <v>21</v>
      </c>
      <c r="H6" s="12" t="s">
        <v>54</v>
      </c>
      <c r="I6" s="12" t="s">
        <v>10</v>
      </c>
      <c r="J6" s="12" t="s">
        <v>9</v>
      </c>
      <c r="K6" s="12" t="s">
        <v>76</v>
      </c>
      <c r="L6" s="12" t="s">
        <v>11</v>
      </c>
      <c r="M6" s="12" t="s">
        <v>17</v>
      </c>
      <c r="N6" s="12" t="s">
        <v>16</v>
      </c>
      <c r="O6" s="12" t="s">
        <v>19</v>
      </c>
      <c r="P6" s="12" t="s">
        <v>22</v>
      </c>
      <c r="Q6" s="12" t="s">
        <v>23</v>
      </c>
      <c r="R6" s="12" t="s">
        <v>24</v>
      </c>
      <c r="S6" s="12" t="s">
        <v>25</v>
      </c>
      <c r="T6" s="12" t="s">
        <v>94</v>
      </c>
      <c r="U6" s="12" t="s">
        <v>95</v>
      </c>
      <c r="V6" s="12" t="s">
        <v>96</v>
      </c>
      <c r="W6" s="12" t="s">
        <v>97</v>
      </c>
      <c r="X6" s="12" t="s">
        <v>98</v>
      </c>
      <c r="Y6" s="12" t="s">
        <v>77</v>
      </c>
      <c r="Z6" s="12" t="s">
        <v>28</v>
      </c>
    </row>
    <row r="7" spans="1:26" x14ac:dyDescent="0.45">
      <c r="A7" s="7">
        <v>1001</v>
      </c>
      <c r="B7" s="8" t="str">
        <f>'حکم پرسنلی'!B6</f>
        <v>علی پور گنجی</v>
      </c>
      <c r="C7" s="8">
        <v>31</v>
      </c>
      <c r="D7" s="59">
        <f>'حکم پرسنلی'!D6/30*'فروردین تفکیکی'!C7</f>
        <v>95558585</v>
      </c>
      <c r="E7" s="59">
        <f>'حکم پرسنلی'!E6/30*'فروردین تفکیکی'!C7</f>
        <v>34372800</v>
      </c>
      <c r="F7" s="59">
        <f>'حکم پرسنلی'!F6/30*'فروردین تفکیکی'!C7</f>
        <v>2864400</v>
      </c>
      <c r="G7" s="15">
        <f>SUM(D7:F7)</f>
        <v>132795785</v>
      </c>
      <c r="H7" s="15">
        <f>G7/C7</f>
        <v>4283735</v>
      </c>
      <c r="I7" s="59">
        <f>VLOOKUP($A7,_xlnm.Database,MATCH(I$6,sarsoton,0),0)</f>
        <v>3</v>
      </c>
      <c r="J7" s="60">
        <f>$F$15*I7</f>
        <v>31172903.639999997</v>
      </c>
      <c r="K7" s="59">
        <f>VLOOKUP($A7,_xlnm.Database,MATCH(K$6,sarsoton,0),0)</f>
        <v>5000000</v>
      </c>
      <c r="L7" s="13">
        <f>'حکم پرسنلی'!M6</f>
        <v>31000000</v>
      </c>
      <c r="M7" s="13">
        <v>2</v>
      </c>
      <c r="N7" s="16">
        <f>H7*M7</f>
        <v>8567470</v>
      </c>
      <c r="O7" s="13">
        <v>20</v>
      </c>
      <c r="P7" s="13">
        <f>'حکم پرسنلی'!H6/220*1.4*'فروردین تفکیکی'!O7</f>
        <v>16356079.09090909</v>
      </c>
      <c r="Q7" s="13">
        <f>P7+N7+L7+J7+G7+K7</f>
        <v>224892237.73090911</v>
      </c>
      <c r="R7" s="13">
        <f>IF((Q7-N7-J7)&gt;=($S$14*7*C7),$S$14*7*C7,Q7-N7-J7)</f>
        <v>185151864.09090912</v>
      </c>
      <c r="S7" s="16">
        <f>R7*7%</f>
        <v>12960630.48636364</v>
      </c>
      <c r="T7" s="13">
        <f>Q7-N7-S7-K7-L7-J7-P7</f>
        <v>119835154.51363638</v>
      </c>
      <c r="U7" s="13">
        <f>IF(T7&lt;=$N$15,0,IF(T7&lt;=$N$16,(T7-$M$16)*$O$16,IF(T7&lt;=$N$17,(T7-$M$17)*$O$17+$Q$16,IF(T7&lt;=$N$18,(T7-$M$18)*$O$18+$Q$17,IF(T7&lt;=$N$19,(T7-$M$19)*$O$19+$Q$18,IF(T7&gt;$M$20,(T7-$M$20)*$O$20+$Q$19,"chck"))))))</f>
        <v>0</v>
      </c>
      <c r="V7" s="13">
        <f>IF(T7&gt;N15,P7+L7+K7+J7,0)</f>
        <v>0</v>
      </c>
      <c r="W7" s="13">
        <f>V7*10%</f>
        <v>0</v>
      </c>
      <c r="X7" s="13">
        <f>U7+W7</f>
        <v>0</v>
      </c>
      <c r="Y7" s="13">
        <f>X7+S7</f>
        <v>12960630.48636364</v>
      </c>
      <c r="Z7" s="13">
        <f>Q7-Y7</f>
        <v>211931607.24454546</v>
      </c>
    </row>
    <row r="8" spans="1:26" x14ac:dyDescent="0.45">
      <c r="A8" s="3">
        <v>1002</v>
      </c>
      <c r="B8" s="8" t="str">
        <f>'حکم پرسنلی'!B7</f>
        <v>حسین فنایان</v>
      </c>
      <c r="C8" s="4">
        <v>31</v>
      </c>
      <c r="D8" s="59">
        <f>'حکم پرسنلی'!D7/30*'فروردین تفکیکی'!C8</f>
        <v>521126585</v>
      </c>
      <c r="E8" s="59">
        <f>'حکم پرسنلی'!E7/30*'فروردین تفکیکی'!C8</f>
        <v>204600000</v>
      </c>
      <c r="F8" s="59">
        <f>'حکم پرسنلی'!F7/30*'فروردین تفکیکی'!C8</f>
        <v>5778400</v>
      </c>
      <c r="G8" s="15">
        <f t="shared" ref="G8:G10" si="0">SUM(D8:F8)</f>
        <v>731504985</v>
      </c>
      <c r="H8" s="15">
        <f>G8/C8</f>
        <v>23596935</v>
      </c>
      <c r="I8" s="59">
        <f>VLOOKUP($A8,_xlnm.Database,MATCH(I$6,sarsoton,0),0)</f>
        <v>0</v>
      </c>
      <c r="J8" s="60">
        <f t="shared" ref="J8:J10" si="1">$F$15*I8</f>
        <v>0</v>
      </c>
      <c r="K8" s="59">
        <f>VLOOKUP($A8,_xlnm.Database,MATCH(K$6,sarsoton,0),0)</f>
        <v>0</v>
      </c>
      <c r="L8" s="13">
        <f>'حکم پرسنلی'!M7</f>
        <v>31000000</v>
      </c>
      <c r="M8" s="14">
        <v>3</v>
      </c>
      <c r="N8" s="16">
        <f t="shared" ref="N8:N10" si="2">H8*M8</f>
        <v>70790805</v>
      </c>
      <c r="O8" s="14">
        <v>30</v>
      </c>
      <c r="P8" s="13">
        <f>'حکم پرسنلی'!H7/220*1.4*'فروردین تفکیکی'!O8</f>
        <v>135146082.27272728</v>
      </c>
      <c r="Q8" s="71">
        <f t="shared" ref="Q8:Q10" si="3">P8+N8+L8+J8+G8+K8</f>
        <v>968441872.27272725</v>
      </c>
      <c r="R8" s="71">
        <f t="shared" ref="R8:R10" si="4">IF((Q8-N8-J8)&gt;=($S$14*7*C8),$S$14*7*C8,Q8-N8-J8)</f>
        <v>751613343.31999993</v>
      </c>
      <c r="S8" s="16">
        <f>R8*7%</f>
        <v>52612934.032399997</v>
      </c>
      <c r="T8" s="13">
        <f t="shared" ref="T8:T10" si="5">Q8-N8-S8-K8-L8-J8-P8</f>
        <v>678892050.96759999</v>
      </c>
      <c r="U8" s="13">
        <f>IF(T8&lt;=$N$15,0,IF(T8&lt;=$N$16,(T8-$M$16)*$O$16,IF(T8&lt;=$N$17,(T8-$M$17)*$O$17+$Q$16,IF(T8&lt;=$N$18,(T8-$M$18)*$O$18+$Q$17,IF(T8&lt;=$N$19,(T8-$M$19)*$O$19+$Q$18,IF(T8&gt;$M$20,(T8-$M$20)*$O$20+$Q$19,"chck"))))))</f>
        <v>87334281.956946671</v>
      </c>
      <c r="V8" s="13">
        <f t="shared" ref="V8:V10" si="6">IF(T8&gt;N16,P8+L8+K8+J8,0)</f>
        <v>166146082.27272728</v>
      </c>
      <c r="W8" s="13">
        <f t="shared" ref="W8:W10" si="7">V8*10%</f>
        <v>16614608.227272728</v>
      </c>
      <c r="X8" s="13">
        <f t="shared" ref="X8:X10" si="8">U8+W8</f>
        <v>103948890.18421941</v>
      </c>
      <c r="Y8" s="13">
        <f t="shared" ref="Y8:Y10" si="9">X8+S8</f>
        <v>156561824.2166194</v>
      </c>
      <c r="Z8" s="13">
        <f>Q8-Y8</f>
        <v>811880048.05610788</v>
      </c>
    </row>
    <row r="9" spans="1:26" x14ac:dyDescent="0.45">
      <c r="A9" s="3">
        <v>1003</v>
      </c>
      <c r="B9" s="8" t="str">
        <f>'حکم پرسنلی'!B8</f>
        <v>مریم جوهری</v>
      </c>
      <c r="C9" s="4">
        <v>31</v>
      </c>
      <c r="D9" s="59">
        <f>'حکم پرسنلی'!D8/30*'فروردین تفکیکی'!C9</f>
        <v>135796585</v>
      </c>
      <c r="E9" s="59">
        <f>'حکم پرسنلی'!E8/30*'فروردین تفکیکی'!C9</f>
        <v>50468000</v>
      </c>
      <c r="F9" s="59">
        <f>'حکم پرسنلی'!F8/30*'فروردین تفکیکی'!C9</f>
        <v>5778400</v>
      </c>
      <c r="G9" s="15">
        <f t="shared" si="0"/>
        <v>192042985</v>
      </c>
      <c r="H9" s="15">
        <f>G9/C9</f>
        <v>6194935</v>
      </c>
      <c r="I9" s="59">
        <f>VLOOKUP($A9,_xlnm.Database,MATCH(I$6,sarsoton,0),0)</f>
        <v>1</v>
      </c>
      <c r="J9" s="60">
        <f t="shared" si="1"/>
        <v>10390967.879999999</v>
      </c>
      <c r="K9" s="59">
        <f>VLOOKUP($A9,_xlnm.Database,MATCH(K$6,sarsoton,0),0)</f>
        <v>5000000</v>
      </c>
      <c r="L9" s="13">
        <f>'حکم پرسنلی'!M8</f>
        <v>31000000</v>
      </c>
      <c r="M9" s="14">
        <v>5</v>
      </c>
      <c r="N9" s="16">
        <f t="shared" si="2"/>
        <v>30974675</v>
      </c>
      <c r="O9" s="14">
        <v>50</v>
      </c>
      <c r="P9" s="13">
        <f>'حکم پرسنلی'!H8/220*1.4*'فروردین تفکیکی'!O9</f>
        <v>59133470.454545446</v>
      </c>
      <c r="Q9" s="13">
        <f t="shared" si="3"/>
        <v>328542098.33454543</v>
      </c>
      <c r="R9" s="13">
        <f t="shared" si="4"/>
        <v>287176455.45454544</v>
      </c>
      <c r="S9" s="16">
        <f>R9*7%</f>
        <v>20102351.881818183</v>
      </c>
      <c r="T9" s="13">
        <f t="shared" si="5"/>
        <v>171940633.11818182</v>
      </c>
      <c r="U9" s="13">
        <f>IF(T9&lt;=$N$15,0,IF(T9&lt;=$N$16,(T9-$M$16)*$O$16,IF(T9&lt;=$N$17,(T9-$M$17)*$O$17+$Q$16,IF(T9&lt;=$N$18,(T9-$M$18)*$O$18+$Q$17,IF(T9&lt;=$N$19,(T9-$M$19)*$O$19+$Q$18,IF(T9&gt;$M$20,(T9-$M$20)*$O$20+$Q$19,"chck"))))))</f>
        <v>0</v>
      </c>
      <c r="V9" s="13">
        <f t="shared" si="6"/>
        <v>0</v>
      </c>
      <c r="W9" s="13">
        <f t="shared" si="7"/>
        <v>0</v>
      </c>
      <c r="X9" s="13">
        <f t="shared" si="8"/>
        <v>0</v>
      </c>
      <c r="Y9" s="13">
        <f t="shared" si="9"/>
        <v>20102351.881818183</v>
      </c>
      <c r="Z9" s="13">
        <f>Q9-Y9</f>
        <v>308439746.45272726</v>
      </c>
    </row>
    <row r="10" spans="1:26" x14ac:dyDescent="0.45">
      <c r="A10" s="3">
        <v>1004</v>
      </c>
      <c r="B10" s="8" t="str">
        <f>'حکم پرسنلی'!B9</f>
        <v>محمد فیاض یخش</v>
      </c>
      <c r="C10" s="4">
        <v>31</v>
      </c>
      <c r="D10" s="59">
        <f>'حکم پرسنلی'!D9/30*'فروردین تفکیکی'!C10</f>
        <v>91466585</v>
      </c>
      <c r="E10" s="59">
        <f>'حکم پرسنلی'!E9/30*'فروردین تفکیکی'!C10</f>
        <v>34100000</v>
      </c>
      <c r="F10" s="59">
        <f>'حکم پرسنلی'!F9/30*'فروردین تفکیکی'!C10</f>
        <v>2864400</v>
      </c>
      <c r="G10" s="15">
        <f t="shared" si="0"/>
        <v>128430985</v>
      </c>
      <c r="H10" s="81">
        <f>G10/C10</f>
        <v>4142935</v>
      </c>
      <c r="I10" s="59">
        <f>VLOOKUP($A10,_xlnm.Database,MATCH(I$6,sarsoton,0),0)</f>
        <v>2</v>
      </c>
      <c r="J10" s="60">
        <f t="shared" si="1"/>
        <v>20781935.759999998</v>
      </c>
      <c r="K10" s="59">
        <f>VLOOKUP($A10,_xlnm.Database,MATCH(K$6,sarsoton,0),0)</f>
        <v>5000000</v>
      </c>
      <c r="L10" s="13">
        <f>'حکم پرسنلی'!M9</f>
        <v>31000000</v>
      </c>
      <c r="M10" s="83">
        <v>30</v>
      </c>
      <c r="N10" s="16">
        <f t="shared" si="2"/>
        <v>124288050</v>
      </c>
      <c r="O10" s="83">
        <v>60</v>
      </c>
      <c r="P10" s="13">
        <f>'حکم پرسنلی'!H9/220*1.4*'فروردین تفکیکی'!O10</f>
        <v>47455437.272727266</v>
      </c>
      <c r="Q10" s="82">
        <f t="shared" si="3"/>
        <v>356956408.03272724</v>
      </c>
      <c r="R10" s="13">
        <f t="shared" si="4"/>
        <v>211886422.27272725</v>
      </c>
      <c r="S10" s="84">
        <f>R10*7%</f>
        <v>14832049.559090909</v>
      </c>
      <c r="T10" s="13">
        <f t="shared" si="5"/>
        <v>113598935.44090907</v>
      </c>
      <c r="U10" s="13">
        <f>IF(T10&lt;=$N$15,0,IF(T10&lt;=$N$16,(T10-$M$16)*$O$16,IF(T10&lt;=$N$17,(T10-$M$17)*$O$17+$Q$16,IF(T10&lt;=$N$18,(T10-$M$18)*$O$18+$Q$17,IF(T10&lt;=$N$19,(T10-$M$19)*$O$19+$Q$18,IF(T10&gt;$M$20,(T10-$M$20)*$O$20+$Q$19,"chck"))))))</f>
        <v>0</v>
      </c>
      <c r="V10" s="13">
        <f t="shared" si="6"/>
        <v>0</v>
      </c>
      <c r="W10" s="13">
        <f t="shared" si="7"/>
        <v>0</v>
      </c>
      <c r="X10" s="13">
        <f t="shared" si="8"/>
        <v>0</v>
      </c>
      <c r="Y10" s="13">
        <f t="shared" si="9"/>
        <v>14832049.559090909</v>
      </c>
      <c r="Z10" s="82">
        <f>Q10-Y10</f>
        <v>342124358.47363633</v>
      </c>
    </row>
    <row r="11" spans="1:26" ht="18.75" thickBot="1" x14ac:dyDescent="0.5">
      <c r="D11" s="85">
        <f t="shared" ref="D11:H11" si="10">SUM(D7:D10)</f>
        <v>843948340</v>
      </c>
      <c r="E11" s="86">
        <f t="shared" si="10"/>
        <v>323540800</v>
      </c>
      <c r="F11" s="86">
        <f t="shared" si="10"/>
        <v>17285600</v>
      </c>
      <c r="G11" s="86">
        <f t="shared" si="10"/>
        <v>1184774740</v>
      </c>
      <c r="H11" s="86">
        <f t="shared" si="10"/>
        <v>38218540</v>
      </c>
      <c r="I11" s="87"/>
      <c r="J11" s="86">
        <f>SUM(J7:J10)</f>
        <v>62345807.279999994</v>
      </c>
      <c r="K11" s="86">
        <f>SUM(K7:K10)</f>
        <v>15000000</v>
      </c>
      <c r="L11" s="86">
        <f>SUM(L7:L10)</f>
        <v>124000000</v>
      </c>
      <c r="M11" s="87"/>
      <c r="N11" s="88">
        <f>SUM(N7:N10)</f>
        <v>234621000</v>
      </c>
      <c r="O11" s="87"/>
      <c r="P11" s="86">
        <f t="shared" ref="P11:X11" si="11">SUM(P7:P10)</f>
        <v>258091069.09090906</v>
      </c>
      <c r="Q11" s="89">
        <f t="shared" si="11"/>
        <v>1878832616.370909</v>
      </c>
      <c r="R11" s="86">
        <f t="shared" si="11"/>
        <v>1435828085.1381817</v>
      </c>
      <c r="S11" s="86">
        <f t="shared" si="11"/>
        <v>100507965.95967273</v>
      </c>
      <c r="T11" s="86">
        <f t="shared" si="11"/>
        <v>1084266774.0403273</v>
      </c>
      <c r="U11" s="86">
        <f t="shared" si="11"/>
        <v>87334281.956946671</v>
      </c>
      <c r="V11" s="86">
        <f t="shared" si="11"/>
        <v>166146082.27272728</v>
      </c>
      <c r="W11" s="86">
        <f t="shared" si="11"/>
        <v>16614608.227272728</v>
      </c>
      <c r="X11" s="86">
        <f t="shared" si="11"/>
        <v>103948890.18421941</v>
      </c>
      <c r="Y11" s="86">
        <f>SUM(Y7:Y10)</f>
        <v>204456856.14389214</v>
      </c>
      <c r="Z11" s="86">
        <f>SUM(Z7:Z10)</f>
        <v>1674375760.2270169</v>
      </c>
    </row>
    <row r="12" spans="1:26" ht="18.75" thickTop="1" x14ac:dyDescent="0.45"/>
    <row r="13" spans="1:26" ht="19.5" customHeight="1" x14ac:dyDescent="0.5">
      <c r="E13" s="18"/>
      <c r="G13" s="18"/>
      <c r="H13" s="18"/>
      <c r="M13" s="112" t="s">
        <v>64</v>
      </c>
      <c r="N13" s="112"/>
      <c r="O13" s="112"/>
      <c r="P13" s="112"/>
    </row>
    <row r="14" spans="1:26" ht="19.5" customHeight="1" x14ac:dyDescent="0.55000000000000004">
      <c r="E14" s="18"/>
      <c r="G14" s="18"/>
      <c r="H14" s="18"/>
      <c r="M14" s="96" t="s">
        <v>50</v>
      </c>
      <c r="N14" s="96" t="s">
        <v>51</v>
      </c>
      <c r="O14" s="96" t="s">
        <v>52</v>
      </c>
      <c r="P14" s="96" t="s">
        <v>53</v>
      </c>
      <c r="Q14" s="96" t="s">
        <v>91</v>
      </c>
      <c r="R14" s="100" t="s">
        <v>29</v>
      </c>
      <c r="S14" s="19">
        <f>I15</f>
        <v>3463655.96</v>
      </c>
    </row>
    <row r="15" spans="1:26" ht="20.25" x14ac:dyDescent="0.55000000000000004">
      <c r="E15" s="20" t="s">
        <v>15</v>
      </c>
      <c r="F15" s="67">
        <f>I15*3</f>
        <v>10390967.879999999</v>
      </c>
      <c r="G15" s="20"/>
      <c r="H15" s="20"/>
      <c r="I15" s="20">
        <f>'حکم پرسنلی'!H22</f>
        <v>3463655.96</v>
      </c>
      <c r="M15" s="97">
        <v>0</v>
      </c>
      <c r="N15" s="97">
        <v>240000000</v>
      </c>
      <c r="O15" s="98">
        <v>0</v>
      </c>
      <c r="P15" s="105">
        <f>(N15-M15)*O15</f>
        <v>0</v>
      </c>
      <c r="Q15" s="105">
        <f>P15</f>
        <v>0</v>
      </c>
      <c r="R15" s="100" t="s">
        <v>30</v>
      </c>
      <c r="S15" s="21">
        <f>S14*7</f>
        <v>24245591.719999999</v>
      </c>
      <c r="U15" s="112" t="s">
        <v>31</v>
      </c>
      <c r="V15" s="112"/>
      <c r="W15" s="112"/>
    </row>
    <row r="16" spans="1:26" ht="36.75" customHeight="1" x14ac:dyDescent="0.55000000000000004">
      <c r="E16" s="18"/>
      <c r="F16" s="73"/>
      <c r="G16" s="74"/>
      <c r="H16" s="74"/>
      <c r="I16" s="75"/>
      <c r="L16" s="17">
        <f>N16-M16</f>
        <v>60000000</v>
      </c>
      <c r="M16" s="97">
        <v>240000000</v>
      </c>
      <c r="N16" s="97">
        <v>300000000</v>
      </c>
      <c r="O16" s="98">
        <v>0.1</v>
      </c>
      <c r="P16" s="105">
        <f t="shared" ref="P16:P20" si="12">(N16-M16)*O16</f>
        <v>6000000</v>
      </c>
      <c r="Q16" s="105">
        <f>Q15+P16</f>
        <v>6000000</v>
      </c>
      <c r="R16" s="101" t="s">
        <v>48</v>
      </c>
      <c r="S16" s="68">
        <f>S15*31</f>
        <v>751613343.31999993</v>
      </c>
      <c r="U16" s="25" t="s">
        <v>32</v>
      </c>
      <c r="V16" s="26" t="s">
        <v>33</v>
      </c>
      <c r="W16" s="27" t="s">
        <v>34</v>
      </c>
    </row>
    <row r="17" spans="4:24" ht="19.5" x14ac:dyDescent="0.55000000000000004">
      <c r="F17" s="76"/>
      <c r="G17" s="77"/>
      <c r="H17" s="78"/>
      <c r="I17" s="79"/>
      <c r="K17" s="92"/>
      <c r="L17" s="17">
        <f>N17-M17</f>
        <v>80000000</v>
      </c>
      <c r="M17" s="97">
        <v>300000000</v>
      </c>
      <c r="N17" s="97">
        <v>380000000</v>
      </c>
      <c r="O17" s="98">
        <v>0.15</v>
      </c>
      <c r="P17" s="105">
        <f t="shared" si="12"/>
        <v>12000000</v>
      </c>
      <c r="Q17" s="105">
        <f t="shared" ref="Q17:Q20" si="13">Q16+P17</f>
        <v>18000000</v>
      </c>
      <c r="U17" s="12" t="s">
        <v>6</v>
      </c>
      <c r="V17" s="19">
        <f>D11</f>
        <v>843948340</v>
      </c>
      <c r="W17" s="19"/>
    </row>
    <row r="18" spans="4:24" ht="19.5" x14ac:dyDescent="0.55000000000000004">
      <c r="D18" s="70"/>
      <c r="L18" s="17">
        <f>N18-M18</f>
        <v>120000000</v>
      </c>
      <c r="M18" s="97">
        <v>380000000</v>
      </c>
      <c r="N18" s="97">
        <v>500000000</v>
      </c>
      <c r="O18" s="98">
        <v>0.2</v>
      </c>
      <c r="P18" s="105">
        <f t="shared" si="12"/>
        <v>24000000</v>
      </c>
      <c r="Q18" s="105">
        <f t="shared" si="13"/>
        <v>42000000</v>
      </c>
      <c r="U18" s="12" t="s">
        <v>7</v>
      </c>
      <c r="V18" s="19">
        <f>E11</f>
        <v>323540800</v>
      </c>
      <c r="W18" s="19"/>
    </row>
    <row r="19" spans="4:24" ht="19.5" x14ac:dyDescent="0.55000000000000004">
      <c r="D19" s="70"/>
      <c r="K19" s="69"/>
      <c r="L19" s="17">
        <f>N19-M19</f>
        <v>166666666.66666663</v>
      </c>
      <c r="M19" s="97">
        <v>500000000</v>
      </c>
      <c r="N19" s="97">
        <v>666666666.66666663</v>
      </c>
      <c r="O19" s="98">
        <v>0.25</v>
      </c>
      <c r="P19" s="105">
        <f t="shared" si="12"/>
        <v>41666666.666666657</v>
      </c>
      <c r="Q19" s="105">
        <f t="shared" si="13"/>
        <v>83666666.666666657</v>
      </c>
      <c r="R19" s="17"/>
      <c r="U19" s="12" t="s">
        <v>8</v>
      </c>
      <c r="V19" s="19">
        <f>F11</f>
        <v>17285600</v>
      </c>
      <c r="W19" s="19"/>
    </row>
    <row r="20" spans="4:24" ht="19.5" x14ac:dyDescent="0.55000000000000004">
      <c r="D20" s="70"/>
      <c r="M20" s="97">
        <v>666666666.66666663</v>
      </c>
      <c r="N20" s="97"/>
      <c r="O20" s="98">
        <v>0.3</v>
      </c>
      <c r="P20" s="105">
        <f t="shared" si="12"/>
        <v>-199999999.99999997</v>
      </c>
      <c r="Q20" s="105">
        <f t="shared" si="13"/>
        <v>-116333333.33333331</v>
      </c>
      <c r="R20" s="22"/>
      <c r="U20" s="12" t="s">
        <v>9</v>
      </c>
      <c r="V20" s="19">
        <f>J11</f>
        <v>62345807.279999994</v>
      </c>
      <c r="W20" s="19"/>
    </row>
    <row r="21" spans="4:24" ht="27.75" customHeight="1" x14ac:dyDescent="0.45">
      <c r="D21" s="70"/>
      <c r="M21" s="102"/>
      <c r="N21" s="103"/>
      <c r="O21" s="104"/>
      <c r="P21" s="102"/>
      <c r="R21" s="69"/>
      <c r="U21" s="24" t="str">
        <f>K6</f>
        <v>حق تاهل</v>
      </c>
      <c r="V21" s="80">
        <f>K11</f>
        <v>15000000</v>
      </c>
      <c r="W21" s="24"/>
    </row>
    <row r="22" spans="4:24" ht="36" x14ac:dyDescent="0.45">
      <c r="D22" s="70"/>
      <c r="R22" s="69"/>
      <c r="U22" s="12" t="s">
        <v>11</v>
      </c>
      <c r="V22" s="19">
        <f>L11</f>
        <v>124000000</v>
      </c>
      <c r="W22" s="19"/>
    </row>
    <row r="23" spans="4:24" ht="19.5" x14ac:dyDescent="0.55000000000000004">
      <c r="M23" s="113" t="s">
        <v>90</v>
      </c>
      <c r="N23" s="114"/>
      <c r="O23" s="115"/>
      <c r="P23" s="95"/>
      <c r="Q23" s="95"/>
      <c r="U23" s="12" t="s">
        <v>16</v>
      </c>
      <c r="V23" s="19">
        <f>N11</f>
        <v>234621000</v>
      </c>
      <c r="W23" s="19"/>
    </row>
    <row r="24" spans="4:24" ht="19.5" x14ac:dyDescent="0.55000000000000004">
      <c r="M24" s="96" t="s">
        <v>50</v>
      </c>
      <c r="N24" s="96" t="s">
        <v>51</v>
      </c>
      <c r="O24" s="96" t="s">
        <v>52</v>
      </c>
      <c r="P24" s="95" t="s">
        <v>53</v>
      </c>
      <c r="Q24" s="95" t="s">
        <v>91</v>
      </c>
      <c r="S24" s="22"/>
      <c r="U24" s="12" t="s">
        <v>22</v>
      </c>
      <c r="V24" s="19">
        <f>P11</f>
        <v>258091069.09090906</v>
      </c>
      <c r="W24" s="19"/>
    </row>
    <row r="25" spans="4:24" ht="19.5" x14ac:dyDescent="0.55000000000000004">
      <c r="M25" s="97">
        <v>0</v>
      </c>
      <c r="N25" s="97">
        <v>240000000</v>
      </c>
      <c r="O25" s="98">
        <v>0</v>
      </c>
      <c r="P25" s="99">
        <f>(N25-M25)*O25</f>
        <v>0</v>
      </c>
      <c r="Q25" s="99">
        <f>P25</f>
        <v>0</v>
      </c>
      <c r="U25" s="65" t="s">
        <v>35</v>
      </c>
      <c r="V25" s="19">
        <f>R11*0.23</f>
        <v>330240459.5817818</v>
      </c>
      <c r="W25" s="19"/>
    </row>
    <row r="26" spans="4:24" ht="19.5" x14ac:dyDescent="0.55000000000000004">
      <c r="M26" s="97">
        <v>240000000</v>
      </c>
      <c r="N26" s="97">
        <v>300000000</v>
      </c>
      <c r="O26" s="98">
        <v>0.1</v>
      </c>
      <c r="P26" s="99">
        <f t="shared" ref="P26:P30" si="14">(N26-M26)*O26</f>
        <v>6000000</v>
      </c>
      <c r="Q26" s="99">
        <f>Q25+P26</f>
        <v>6000000</v>
      </c>
      <c r="U26" s="24" t="s">
        <v>36</v>
      </c>
      <c r="V26" s="19"/>
      <c r="W26" s="19">
        <f>X11</f>
        <v>103948890.18421941</v>
      </c>
    </row>
    <row r="27" spans="4:24" ht="19.5" x14ac:dyDescent="0.55000000000000004">
      <c r="M27" s="97">
        <v>300000000</v>
      </c>
      <c r="N27" s="97">
        <v>380000000</v>
      </c>
      <c r="O27" s="98">
        <v>0.15</v>
      </c>
      <c r="P27" s="99">
        <f t="shared" si="14"/>
        <v>12000000</v>
      </c>
      <c r="Q27" s="99">
        <f t="shared" ref="Q27:Q30" si="15">Q26+P27</f>
        <v>18000000</v>
      </c>
      <c r="U27" s="24" t="s">
        <v>37</v>
      </c>
      <c r="V27" s="19"/>
      <c r="W27" s="19">
        <f>V25+S11</f>
        <v>430748425.54145455</v>
      </c>
      <c r="X27" s="1" t="s">
        <v>69</v>
      </c>
    </row>
    <row r="28" spans="4:24" ht="19.5" x14ac:dyDescent="0.55000000000000004">
      <c r="M28" s="97">
        <v>380000000</v>
      </c>
      <c r="N28" s="97">
        <v>500000000</v>
      </c>
      <c r="O28" s="98">
        <v>0.2</v>
      </c>
      <c r="P28" s="99">
        <f t="shared" si="14"/>
        <v>24000000</v>
      </c>
      <c r="Q28" s="99">
        <f t="shared" si="15"/>
        <v>42000000</v>
      </c>
      <c r="U28" s="24" t="s">
        <v>38</v>
      </c>
      <c r="V28" s="19"/>
      <c r="W28" s="19">
        <f>Z11</f>
        <v>1674375760.2270169</v>
      </c>
    </row>
    <row r="29" spans="4:24" ht="19.5" x14ac:dyDescent="0.55000000000000004">
      <c r="M29" s="97">
        <v>500000000</v>
      </c>
      <c r="N29" s="97">
        <v>666666666.66666663</v>
      </c>
      <c r="O29" s="98">
        <v>0.25</v>
      </c>
      <c r="P29" s="99">
        <f t="shared" si="14"/>
        <v>41666666.666666657</v>
      </c>
      <c r="Q29" s="99">
        <f t="shared" si="15"/>
        <v>83666666.666666657</v>
      </c>
      <c r="V29" s="17">
        <f>SUM(V17:V28)</f>
        <v>2209073075.9526906</v>
      </c>
      <c r="W29" s="17">
        <f>SUM(W17:W28)</f>
        <v>2209073075.9526911</v>
      </c>
    </row>
    <row r="30" spans="4:24" ht="19.5" x14ac:dyDescent="0.55000000000000004">
      <c r="M30" s="97">
        <v>666666666.66666663</v>
      </c>
      <c r="N30" s="97"/>
      <c r="O30" s="98">
        <v>0.3</v>
      </c>
      <c r="P30" s="99">
        <f t="shared" si="14"/>
        <v>-199999999.99999997</v>
      </c>
      <c r="Q30" s="99">
        <f t="shared" si="15"/>
        <v>-116333333.33333331</v>
      </c>
      <c r="W30" s="17">
        <f>W29-V29</f>
        <v>0</v>
      </c>
    </row>
  </sheetData>
  <mergeCells count="3">
    <mergeCell ref="M13:P13"/>
    <mergeCell ref="U15:W15"/>
    <mergeCell ref="M23:O23"/>
  </mergeCells>
  <pageMargins left="0.19685039370078741" right="0.19685039370078741" top="0.35433070866141736" bottom="0.33" header="0.19685039370078741" footer="0.2"/>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1"/>
  <sheetViews>
    <sheetView rightToLeft="1" workbookViewId="0">
      <selection activeCell="G9" sqref="G9"/>
    </sheetView>
  </sheetViews>
  <sheetFormatPr defaultRowHeight="15" x14ac:dyDescent="0.25"/>
  <cols>
    <col min="1" max="1" width="17.28515625" bestFit="1" customWidth="1"/>
    <col min="2" max="2" width="12.7109375" bestFit="1" customWidth="1"/>
    <col min="5" max="5" width="11.28515625" bestFit="1" customWidth="1"/>
    <col min="6" max="7" width="13.7109375" bestFit="1" customWidth="1"/>
    <col min="8" max="8" width="11.140625" bestFit="1" customWidth="1"/>
  </cols>
  <sheetData>
    <row r="1" spans="1:8" x14ac:dyDescent="0.25">
      <c r="A1" t="s">
        <v>55</v>
      </c>
      <c r="B1" s="61">
        <f>'کارکرد فروردین'!Q7</f>
        <v>224892237.73090911</v>
      </c>
    </row>
    <row r="2" spans="1:8" x14ac:dyDescent="0.25">
      <c r="A2" t="s">
        <v>56</v>
      </c>
      <c r="B2" s="61">
        <f>'کارکرد فروردین'!R7</f>
        <v>185151864.09090912</v>
      </c>
    </row>
    <row r="3" spans="1:8" x14ac:dyDescent="0.25">
      <c r="A3" t="s">
        <v>57</v>
      </c>
      <c r="B3" s="62">
        <v>1100000</v>
      </c>
      <c r="E3" t="s">
        <v>59</v>
      </c>
      <c r="F3" s="61">
        <f>'کارکرد فروردین'!H7</f>
        <v>4283735</v>
      </c>
    </row>
    <row r="4" spans="1:8" x14ac:dyDescent="0.25">
      <c r="A4" t="s">
        <v>58</v>
      </c>
      <c r="B4" s="61">
        <f>B2-B3</f>
        <v>184051864.09090912</v>
      </c>
      <c r="E4" t="s">
        <v>14</v>
      </c>
      <c r="F4">
        <v>31</v>
      </c>
    </row>
    <row r="5" spans="1:8" x14ac:dyDescent="0.25">
      <c r="A5" t="s">
        <v>54</v>
      </c>
      <c r="B5" s="62">
        <f>B4/31</f>
        <v>5937156.9061583588</v>
      </c>
      <c r="E5" t="s">
        <v>60</v>
      </c>
      <c r="F5" s="63">
        <f>F3*F4</f>
        <v>132795785</v>
      </c>
      <c r="G5" s="62">
        <f>F5</f>
        <v>132795785</v>
      </c>
      <c r="H5" s="64">
        <f>G5+G6+G7</f>
        <v>140844243</v>
      </c>
    </row>
    <row r="6" spans="1:8" x14ac:dyDescent="0.25">
      <c r="E6" t="s">
        <v>61</v>
      </c>
      <c r="F6">
        <v>1500000</v>
      </c>
      <c r="G6" s="62">
        <f>F6</f>
        <v>1500000</v>
      </c>
    </row>
    <row r="7" spans="1:8" x14ac:dyDescent="0.25">
      <c r="E7" t="s">
        <v>63</v>
      </c>
      <c r="F7" s="61">
        <f>'کارکرد فروردین'!P7</f>
        <v>16356079.09090909</v>
      </c>
      <c r="G7" s="62">
        <v>6548458</v>
      </c>
    </row>
    <row r="8" spans="1:8" x14ac:dyDescent="0.25">
      <c r="E8" t="s">
        <v>62</v>
      </c>
      <c r="F8" s="63">
        <f>F5+F6+F7</f>
        <v>150651864.09090909</v>
      </c>
      <c r="G8">
        <v>80381791</v>
      </c>
    </row>
    <row r="9" spans="1:8" x14ac:dyDescent="0.25">
      <c r="G9" s="63">
        <f>G8-F8</f>
        <v>-70270073.090909094</v>
      </c>
    </row>
    <row r="11" spans="1:8" x14ac:dyDescent="0.25">
      <c r="G11" s="61">
        <f>F7-G7</f>
        <v>9807621.0909090899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حکم پرسنلی</vt:lpstr>
      <vt:lpstr>کارکرد فروردین</vt:lpstr>
      <vt:lpstr>فیش حقوقی</vt:lpstr>
      <vt:lpstr>ارایه</vt:lpstr>
      <vt:lpstr>فروردین تفکیکی</vt:lpstr>
      <vt:lpstr>Sheet1</vt:lpstr>
      <vt:lpstr>Database</vt:lpstr>
      <vt:lpstr>'فروردین تفکیکی'!karkard</vt:lpstr>
      <vt:lpstr>karkard</vt:lpstr>
      <vt:lpstr>sarsoton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2025-08-18T06:32:01Z</dcterms:modified>
</cp:coreProperties>
</file>