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00-Teaching\Pact\Payroll\1405\1-14050231\"/>
    </mc:Choice>
  </mc:AlternateContent>
  <xr:revisionPtr revIDLastSave="0" documentId="13_ncr:1_{1ED2A48E-8DFB-4175-8386-CBE8A646BB31}" xr6:coauthVersionLast="47" xr6:coauthVersionMax="47" xr10:uidLastSave="{00000000-0000-0000-0000-000000000000}"/>
  <bookViews>
    <workbookView xWindow="-120" yWindow="-120" windowWidth="29040" windowHeight="15720" tabRatio="691" activeTab="1" xr2:uid="{7D9DBA58-1778-4F61-9F50-D0661485FB9C}"/>
  </bookViews>
  <sheets>
    <sheet name="فهرست" sheetId="5" r:id="rId1"/>
    <sheet name="اطلاعات پایه" sheetId="4" r:id="rId2"/>
    <sheet name="خلاصه قرارداد" sheetId="1" r:id="rId3"/>
    <sheet name="فروردین" sheetId="3" r:id="rId4"/>
    <sheet name="Sheet1" sheetId="26" r:id="rId5"/>
    <sheet name="فیش حقوقی" sheetId="23" r:id="rId6"/>
    <sheet name="فرم تسویه" sheetId="24" r:id="rId7"/>
    <sheet name="عیدی" sheetId="25" r:id="rId8"/>
  </sheets>
  <externalReferences>
    <externalReference r:id="rId9"/>
    <externalReference r:id="rId10"/>
  </externalReferences>
  <definedNames>
    <definedName name="_xlnm.Database" localSheetId="7">'[1]حکم پرسنلی'!$A$5:$Q$9</definedName>
    <definedName name="_xlnm.Database" localSheetId="3">'[1]حکم پرسنلی'!$A$5:$Q$9</definedName>
    <definedName name="_xlnm.Database" localSheetId="5">'[1]حکم پرسنلی'!$A$5:$Q$9</definedName>
    <definedName name="_xlnm.Database">'خلاصه قرارداد'!$A$5:$O$9</definedName>
    <definedName name="exemption">'اطلاعات پایه'!$B$6</definedName>
    <definedName name="exemtion">'اطلاعات پایه'!$B$6</definedName>
    <definedName name="karkard" localSheetId="7">عیدی!$A$5:$O$10</definedName>
    <definedName name="karkard" localSheetId="3">فروردین!$A$5:$AB$10</definedName>
    <definedName name="karkard">'[1]کارکرد فروردین'!$A$6:$W$10</definedName>
    <definedName name="maxsso">'اطلاعات پایه'!$B$5</definedName>
    <definedName name="minwage">'اطلاعات پایه'!$B$1</definedName>
    <definedName name="months">'اطلاعات پایه'!$A$14:$A$25</definedName>
    <definedName name="olad">'اطلاعات پایه'!$B$3</definedName>
    <definedName name="_xlnm.Print_Area" localSheetId="6">'فرم تسویه'!$A$1:$F$35</definedName>
    <definedName name="sarsoton" localSheetId="7">'[1]حکم پرسنلی'!$A$5:$Q$5</definedName>
    <definedName name="sarsoton" localSheetId="3">'[1]حکم پرسنلی'!$A$5:$Q$5</definedName>
    <definedName name="sarsoton" localSheetId="5">'[1]حکم پرسنلی'!$A$5:$Q$5</definedName>
    <definedName name="sarsoton">'خلاصه قرارداد'!$A$5:$O$5</definedName>
    <definedName name="taxexemption">'اطلاعات پایه'!$B$6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" i="4" l="1"/>
  <c r="G9" i="4"/>
  <c r="J12" i="4"/>
  <c r="G7" i="26"/>
  <c r="G8" i="26"/>
  <c r="G9" i="26"/>
  <c r="G6" i="26"/>
  <c r="F7" i="26"/>
  <c r="F8" i="26"/>
  <c r="F9" i="26"/>
  <c r="F6" i="26"/>
  <c r="X29" i="3"/>
  <c r="I6" i="1"/>
  <c r="I3" i="3"/>
  <c r="H6" i="1"/>
  <c r="F9" i="1"/>
  <c r="E9" i="4"/>
  <c r="B6" i="4"/>
  <c r="E6" i="4"/>
  <c r="E7" i="4"/>
  <c r="E8" i="4"/>
  <c r="E5" i="4"/>
  <c r="C9" i="24"/>
  <c r="F6" i="25"/>
  <c r="I7" i="3"/>
  <c r="I8" i="3"/>
  <c r="I9" i="3"/>
  <c r="I10" i="3"/>
  <c r="I6" i="3"/>
  <c r="B7" i="3"/>
  <c r="B8" i="3"/>
  <c r="B9" i="3"/>
  <c r="B10" i="3"/>
  <c r="B6" i="3"/>
  <c r="F8" i="1"/>
  <c r="F7" i="1"/>
  <c r="F6" i="1"/>
  <c r="C8" i="24"/>
  <c r="O10" i="25"/>
  <c r="N10" i="25"/>
  <c r="M10" i="25"/>
  <c r="H10" i="25"/>
  <c r="G10" i="25"/>
  <c r="F10" i="25"/>
  <c r="O9" i="25"/>
  <c r="N9" i="25"/>
  <c r="M9" i="25"/>
  <c r="H9" i="25"/>
  <c r="G9" i="25"/>
  <c r="F9" i="25"/>
  <c r="O8" i="25"/>
  <c r="N8" i="25"/>
  <c r="M8" i="25"/>
  <c r="H8" i="25"/>
  <c r="G8" i="25"/>
  <c r="F8" i="25"/>
  <c r="O7" i="25"/>
  <c r="N7" i="25"/>
  <c r="M7" i="25"/>
  <c r="H7" i="25"/>
  <c r="G7" i="25"/>
  <c r="F7" i="25"/>
  <c r="O6" i="25"/>
  <c r="N6" i="25"/>
  <c r="M6" i="25"/>
  <c r="H6" i="25"/>
  <c r="G6" i="25"/>
  <c r="K4" i="25"/>
  <c r="B4" i="25"/>
  <c r="B2" i="25"/>
  <c r="A1" i="25"/>
  <c r="B5" i="24"/>
  <c r="C16" i="24" a="1"/>
  <c r="P9" i="25" a="1"/>
  <c r="P6" i="25" a="1"/>
  <c r="C13" i="24" a="1"/>
  <c r="P7" i="25" a="1"/>
  <c r="P8" i="25" a="1"/>
  <c r="P10" i="25" a="1"/>
  <c r="I10" i="25" l="1"/>
  <c r="J10" i="25" s="1"/>
  <c r="I7" i="25"/>
  <c r="J7" i="25" s="1"/>
  <c r="P10" i="25"/>
  <c r="P8" i="25"/>
  <c r="P9" i="25"/>
  <c r="P7" i="25"/>
  <c r="P6" i="25"/>
  <c r="M11" i="25"/>
  <c r="N11" i="25"/>
  <c r="O11" i="25"/>
  <c r="F11" i="25"/>
  <c r="I9" i="25"/>
  <c r="J9" i="25" s="1"/>
  <c r="G11" i="25"/>
  <c r="H11" i="25"/>
  <c r="I8" i="25"/>
  <c r="J8" i="25" s="1"/>
  <c r="I6" i="25"/>
  <c r="C13" i="24"/>
  <c r="C16" i="24"/>
  <c r="Q7" i="25" l="1"/>
  <c r="R7" i="25" s="1"/>
  <c r="Q6" i="25"/>
  <c r="R6" i="25" s="1"/>
  <c r="Q10" i="25"/>
  <c r="R10" i="25" s="1"/>
  <c r="Q9" i="25"/>
  <c r="R9" i="25" s="1"/>
  <c r="Q8" i="25"/>
  <c r="R8" i="25" s="1"/>
  <c r="J6" i="25"/>
  <c r="I11" i="25"/>
  <c r="R11" i="25" l="1"/>
  <c r="Q11" i="25"/>
  <c r="J11" i="25"/>
  <c r="F15" i="23"/>
  <c r="C18" i="23"/>
  <c r="C13" i="23"/>
  <c r="C9" i="23"/>
  <c r="F14" i="23"/>
  <c r="C5" i="23"/>
  <c r="C20" i="23"/>
  <c r="A1" i="23" l="1"/>
  <c r="M7" i="3"/>
  <c r="M8" i="3"/>
  <c r="M9" i="3"/>
  <c r="M10" i="3"/>
  <c r="L7" i="3"/>
  <c r="L8" i="3"/>
  <c r="L9" i="3"/>
  <c r="L10" i="3"/>
  <c r="M6" i="3"/>
  <c r="L6" i="3"/>
  <c r="K7" i="3"/>
  <c r="K8" i="3"/>
  <c r="K9" i="3"/>
  <c r="K10" i="3"/>
  <c r="K6" i="3"/>
  <c r="N7" i="1"/>
  <c r="N8" i="1"/>
  <c r="N9" i="1"/>
  <c r="N10" i="1"/>
  <c r="N6" i="1"/>
  <c r="F7" i="3"/>
  <c r="F8" i="3"/>
  <c r="F9" i="3"/>
  <c r="F10" i="3"/>
  <c r="F6" i="3"/>
  <c r="G6" i="4"/>
  <c r="G7" i="4"/>
  <c r="G8" i="4"/>
  <c r="G5" i="4"/>
  <c r="H5" i="4" s="1"/>
  <c r="J9" i="4"/>
  <c r="J8" i="4"/>
  <c r="J7" i="4"/>
  <c r="J6" i="4"/>
  <c r="J5" i="4"/>
  <c r="J4" i="4"/>
  <c r="K4" i="4" s="1"/>
  <c r="N11" i="3"/>
  <c r="P11" i="3"/>
  <c r="B5" i="4"/>
  <c r="B3" i="4"/>
  <c r="L10" i="1" s="1"/>
  <c r="D7" i="3"/>
  <c r="E7" i="3"/>
  <c r="D8" i="3"/>
  <c r="E8" i="3"/>
  <c r="D9" i="3"/>
  <c r="E9" i="3"/>
  <c r="D10" i="3"/>
  <c r="E10" i="3"/>
  <c r="E6" i="3"/>
  <c r="D6" i="3"/>
  <c r="I4" i="3"/>
  <c r="B4" i="3"/>
  <c r="B2" i="3"/>
  <c r="A1" i="3"/>
  <c r="H10" i="1"/>
  <c r="I10" i="1" s="1"/>
  <c r="Q10" i="3" s="1"/>
  <c r="C17" i="23"/>
  <c r="C11" i="23"/>
  <c r="C16" i="23"/>
  <c r="C15" i="23"/>
  <c r="C12" i="23"/>
  <c r="C10" i="23"/>
  <c r="G6" i="3" l="1"/>
  <c r="H6" i="3" s="1"/>
  <c r="O6" i="3" s="1"/>
  <c r="H6" i="4"/>
  <c r="H7" i="4" s="1"/>
  <c r="H8" i="4" s="1"/>
  <c r="K5" i="4"/>
  <c r="K6" i="4" s="1"/>
  <c r="K7" i="4" s="1"/>
  <c r="K8" i="4" s="1"/>
  <c r="K9" i="4" s="1"/>
  <c r="L10" i="25"/>
  <c r="J10" i="3"/>
  <c r="M11" i="3"/>
  <c r="W23" i="3" s="1"/>
  <c r="L9" i="1"/>
  <c r="L9" i="25" s="1"/>
  <c r="L8" i="1"/>
  <c r="L8" i="25" s="1"/>
  <c r="L6" i="1"/>
  <c r="L6" i="25" s="1"/>
  <c r="L7" i="1"/>
  <c r="L7" i="25" s="1"/>
  <c r="D11" i="3"/>
  <c r="W17" i="3" s="1"/>
  <c r="L11" i="3"/>
  <c r="W22" i="3" s="1"/>
  <c r="G9" i="3"/>
  <c r="H9" i="3" s="1"/>
  <c r="G8" i="3"/>
  <c r="G7" i="3"/>
  <c r="G10" i="3"/>
  <c r="E11" i="3"/>
  <c r="W18" i="3" s="1"/>
  <c r="F11" i="3"/>
  <c r="W19" i="3" s="1"/>
  <c r="K11" i="3"/>
  <c r="W21" i="3" s="1"/>
  <c r="J10" i="1"/>
  <c r="H9" i="1"/>
  <c r="H7" i="3" l="1"/>
  <c r="O7" i="3" s="1"/>
  <c r="H10" i="3"/>
  <c r="O10" i="3" s="1"/>
  <c r="H8" i="3"/>
  <c r="O8" i="3" s="1"/>
  <c r="L11" i="25"/>
  <c r="J7" i="3"/>
  <c r="J6" i="3"/>
  <c r="J8" i="3"/>
  <c r="J9" i="3"/>
  <c r="G11" i="3"/>
  <c r="I9" i="1"/>
  <c r="J9" i="1"/>
  <c r="H8" i="1"/>
  <c r="F8" i="24" s="1"/>
  <c r="H7" i="1"/>
  <c r="C14" i="23"/>
  <c r="C19" i="24" l="1"/>
  <c r="C14" i="24"/>
  <c r="C17" i="24"/>
  <c r="R10" i="3"/>
  <c r="Q9" i="3"/>
  <c r="J11" i="3"/>
  <c r="W20" i="3" s="1"/>
  <c r="O11" i="3"/>
  <c r="W24" i="3" s="1"/>
  <c r="H11" i="3"/>
  <c r="I7" i="1"/>
  <c r="J7" i="1"/>
  <c r="J6" i="1"/>
  <c r="J8" i="1"/>
  <c r="I8" i="1"/>
  <c r="C19" i="23"/>
  <c r="S10" i="3" l="1"/>
  <c r="T10" i="3" s="1"/>
  <c r="U10" i="3"/>
  <c r="R9" i="3"/>
  <c r="V10" i="3"/>
  <c r="C20" i="24"/>
  <c r="F14" i="24"/>
  <c r="F21" i="24" s="1"/>
  <c r="Q8" i="3"/>
  <c r="Q7" i="3"/>
  <c r="Q6" i="3"/>
  <c r="C21" i="23"/>
  <c r="C22" i="24" l="1"/>
  <c r="S9" i="3"/>
  <c r="T9" i="3" s="1"/>
  <c r="U9" i="3"/>
  <c r="V9" i="3" s="1"/>
  <c r="R7" i="3"/>
  <c r="R6" i="3"/>
  <c r="R8" i="3"/>
  <c r="X10" i="3"/>
  <c r="Y10" i="3" s="1"/>
  <c r="AB10" i="3" s="1"/>
  <c r="Q11" i="3"/>
  <c r="W25" i="3" s="1"/>
  <c r="C22" i="23"/>
  <c r="S6" i="3"/>
  <c r="T6" i="3" s="1"/>
  <c r="X9" i="3"/>
  <c r="Y9" i="3" s="1"/>
  <c r="AB9" i="3" s="1"/>
  <c r="C23" i="24" a="1"/>
  <c r="F10" i="23"/>
  <c r="C23" i="24" l="1"/>
  <c r="U6" i="3"/>
  <c r="S7" i="3"/>
  <c r="U7" i="3"/>
  <c r="S8" i="3"/>
  <c r="T8" i="3" s="1"/>
  <c r="U8" i="3"/>
  <c r="V8" i="3" s="1"/>
  <c r="R11" i="3"/>
  <c r="F11" i="23"/>
  <c r="T7" i="3" l="1"/>
  <c r="T11" i="3" s="1"/>
  <c r="S11" i="3"/>
  <c r="W26" i="3" s="1"/>
  <c r="U11" i="3"/>
  <c r="V7" i="3"/>
  <c r="X7" i="3" s="1"/>
  <c r="Y7" i="3" s="1"/>
  <c r="AB7" i="3" s="1"/>
  <c r="X8" i="3"/>
  <c r="Y8" i="3" s="1"/>
  <c r="AB8" i="3" s="1"/>
  <c r="V6" i="3"/>
  <c r="I22" i="23"/>
  <c r="F13" i="23"/>
  <c r="F12" i="23"/>
  <c r="V11" i="3" l="1"/>
  <c r="W30" i="3"/>
  <c r="X28" i="3"/>
  <c r="F22" i="23"/>
  <c r="B23" i="23" s="1"/>
  <c r="I23" i="23" s="1"/>
  <c r="X6" i="3"/>
  <c r="Y6" i="3" s="1"/>
  <c r="AB6" i="3" s="1"/>
  <c r="W11" i="3"/>
  <c r="B24" i="23" a="1"/>
  <c r="B24" i="23" l="1"/>
  <c r="Y11" i="3"/>
  <c r="X11" i="3"/>
  <c r="X27" i="3" s="1"/>
  <c r="AB11" i="3" l="1"/>
  <c r="X30" i="3" s="1"/>
  <c r="X31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<sst xmlns="http://schemas.openxmlformats.org/spreadsheetml/2006/main" count="263" uniqueCount="160">
  <si>
    <t>تهیه کننده : خودتان</t>
  </si>
  <si>
    <t>موضوع : اطلاعات احکام پرسنلی</t>
  </si>
  <si>
    <t>شماره پرسنلی</t>
  </si>
  <si>
    <t>نام و نام خانوادگی</t>
  </si>
  <si>
    <t>تاریخ استخدام</t>
  </si>
  <si>
    <t xml:space="preserve">میلغ حقوق </t>
  </si>
  <si>
    <t>حق جذب</t>
  </si>
  <si>
    <t>پایه سنوات</t>
  </si>
  <si>
    <t>جمع حقوق و مزایای به تبع شغل</t>
  </si>
  <si>
    <t>تعداداولاد</t>
  </si>
  <si>
    <t>حق تاهل</t>
  </si>
  <si>
    <t>سقف عیدی</t>
  </si>
  <si>
    <t>عیدی مشمول مالیات</t>
  </si>
  <si>
    <t>واحد حسابداری</t>
  </si>
  <si>
    <t>نرخ هر ساعت اضافه کار</t>
  </si>
  <si>
    <t>نرخ هر روز ماموریت</t>
  </si>
  <si>
    <t>ماه</t>
  </si>
  <si>
    <t xml:space="preserve">حق خواروبار </t>
  </si>
  <si>
    <t xml:space="preserve"> مسکن</t>
  </si>
  <si>
    <t>تاریخ تهیه : 1404/01/31</t>
  </si>
  <si>
    <t>تعداد روز کارکرد</t>
  </si>
  <si>
    <t>حقوق و مزایای به تبع شغل</t>
  </si>
  <si>
    <t>حقوق روزانه</t>
  </si>
  <si>
    <t>حق اولاد</t>
  </si>
  <si>
    <t>تعداد روز ماموریت</t>
  </si>
  <si>
    <t>حق ماموریت</t>
  </si>
  <si>
    <t>اضافه کار ساعت</t>
  </si>
  <si>
    <t>مبلغ اضافه کار</t>
  </si>
  <si>
    <t>جمع حقوق و مزایا</t>
  </si>
  <si>
    <t>حقوق و مزایای مشمول بیمه</t>
  </si>
  <si>
    <t>بیمه سهم کارمند</t>
  </si>
  <si>
    <t>مالیات پلکانی</t>
  </si>
  <si>
    <t>جمع  مالیات</t>
  </si>
  <si>
    <t>جمع کسور قانونی</t>
  </si>
  <si>
    <t>قابل پرداخت</t>
  </si>
  <si>
    <t>جدول مالیات- ماهانه</t>
  </si>
  <si>
    <t>از</t>
  </si>
  <si>
    <t>تا</t>
  </si>
  <si>
    <t>نرخ</t>
  </si>
  <si>
    <t>مالیات طبقه</t>
  </si>
  <si>
    <t>مالیات تجمعی</t>
  </si>
  <si>
    <t>حداقل حقوق روزانه</t>
  </si>
  <si>
    <t>سند حسابداری</t>
  </si>
  <si>
    <t>نام حساب</t>
  </si>
  <si>
    <t>بدهکار</t>
  </si>
  <si>
    <t>بستانکار</t>
  </si>
  <si>
    <t>سهم بیمه کارفرما</t>
  </si>
  <si>
    <t>مالیات پرداختنی</t>
  </si>
  <si>
    <t>بیمه پرداختنی</t>
  </si>
  <si>
    <t>هم سهم کارمند هم سهم کارفرما</t>
  </si>
  <si>
    <t>حقوق پرداختنی</t>
  </si>
  <si>
    <t xml:space="preserve">موضوع : کاربرگ محاسبه هزینه حقوق </t>
  </si>
  <si>
    <t>بررسی کننده :</t>
  </si>
  <si>
    <t>ضریب پرداخت حق اولاد</t>
  </si>
  <si>
    <t>حق اولاد به ازای هر فرزند</t>
  </si>
  <si>
    <t>ضریب حداکثر حقوق مشمول بیمه</t>
  </si>
  <si>
    <t>حداکثر حقوق مشمول بیمه روزانه</t>
  </si>
  <si>
    <t>معافیت ماهانه حقوق</t>
  </si>
  <si>
    <t>مشمول مالیات پلکانی</t>
  </si>
  <si>
    <t>مالیات اقلام با نرخ ثابت 10 درصد</t>
  </si>
  <si>
    <t>کسور بیمه تکمیلی</t>
  </si>
  <si>
    <t>کسور مساعده و وام</t>
  </si>
  <si>
    <t>رنج طبقه</t>
  </si>
  <si>
    <t>انباشته</t>
  </si>
  <si>
    <t>فروردین</t>
  </si>
  <si>
    <t>ماه ها</t>
  </si>
  <si>
    <t>اردیبهشت</t>
  </si>
  <si>
    <t>خرداد</t>
  </si>
  <si>
    <t>تیر</t>
  </si>
  <si>
    <t>مرداد</t>
  </si>
  <si>
    <t>شهریور</t>
  </si>
  <si>
    <t>مهر</t>
  </si>
  <si>
    <t>آبان</t>
  </si>
  <si>
    <t>آذر</t>
  </si>
  <si>
    <t>دی</t>
  </si>
  <si>
    <t>بهمن</t>
  </si>
  <si>
    <t>اسفند</t>
  </si>
  <si>
    <t xml:space="preserve">میلغ حقوق پایه </t>
  </si>
  <si>
    <t>مشمول بیمه</t>
  </si>
  <si>
    <t>مشمول مالیات ثابت</t>
  </si>
  <si>
    <t>ردیف</t>
  </si>
  <si>
    <t>شرح</t>
  </si>
  <si>
    <t>اطلاعات پایه</t>
  </si>
  <si>
    <t>خلاصه قرارداد</t>
  </si>
  <si>
    <t>وضعیت تاهل</t>
  </si>
  <si>
    <t>متاهل</t>
  </si>
  <si>
    <t>مجرد</t>
  </si>
  <si>
    <t>فیش حقوقی</t>
  </si>
  <si>
    <t>اطلاعات کارمند</t>
  </si>
  <si>
    <t>اطلاعات مربوط به حقوق</t>
  </si>
  <si>
    <t>مزایا</t>
  </si>
  <si>
    <t>جمع مزایا</t>
  </si>
  <si>
    <t>جمع کسورات</t>
  </si>
  <si>
    <t>قابل پرداخت به حروف</t>
  </si>
  <si>
    <t xml:space="preserve">کسورات </t>
  </si>
  <si>
    <t>لیست</t>
  </si>
  <si>
    <t>شماره</t>
  </si>
  <si>
    <t>نام شرکت (.......)</t>
  </si>
  <si>
    <t>فرم تسویه پرسنل-فرم 1</t>
  </si>
  <si>
    <t>1404/01/01</t>
  </si>
  <si>
    <t>نام و نام خانوادگی :</t>
  </si>
  <si>
    <t xml:space="preserve"> تاریخ خاتمه خدمت :</t>
  </si>
  <si>
    <t>1404/05/01</t>
  </si>
  <si>
    <t>مطالبات</t>
  </si>
  <si>
    <t>بدهی ها :</t>
  </si>
  <si>
    <t>حقوق معوق :</t>
  </si>
  <si>
    <t>جمع حقوق و مزایای به تبع شغل ماهانه تقسیم بر 365 ضربدر تعداد روز کارکرد</t>
  </si>
  <si>
    <t>تعداد روز خدمت</t>
  </si>
  <si>
    <t>علی الحساب پرداختی</t>
  </si>
  <si>
    <t>مزایای پایان خدمت :</t>
  </si>
  <si>
    <t>مالیات :</t>
  </si>
  <si>
    <t>تعداد ساعت مرخصی استفاده نشده :</t>
  </si>
  <si>
    <t>تسهیلات صندوق</t>
  </si>
  <si>
    <t>جمع حقوق و مزایای به تبع شغل ضربدر 2 به شرط آنکه از 90 روز حداقل حقوق آن سال بیشتر نشود</t>
  </si>
  <si>
    <t>تعداد روز کارکرد در سال جاری</t>
  </si>
  <si>
    <t>باز خرید مرخصی :</t>
  </si>
  <si>
    <t>بیمه تکمیلی</t>
  </si>
  <si>
    <t>عیدی و پاداش :</t>
  </si>
  <si>
    <t>رندینگ</t>
  </si>
  <si>
    <t>جمع مطالبات</t>
  </si>
  <si>
    <t>جمع بدهی ها :</t>
  </si>
  <si>
    <t>خالص قابل پرداخت</t>
  </si>
  <si>
    <t>کلیه اموال و اجناس در اختیار ایشان به واحد تحویل گردید .</t>
  </si>
  <si>
    <t>امضاء تحویل گیرنده :</t>
  </si>
  <si>
    <t xml:space="preserve">مدیر عامل : </t>
  </si>
  <si>
    <t>امضاء</t>
  </si>
  <si>
    <t>اینجانب ...................................... به شماره ملی ...................................صادره از ............................فرزند.....................................تایید می نمایم که کلیه حقوق و مزایای خود را مطابق مندرجات این فرم طی چک شماره ................................... مورخ .................................دریافت داشته و هیچگونه حق دیگری نسبت به شرکت نمونه ندارم .</t>
  </si>
  <si>
    <t>تاریخ :</t>
  </si>
  <si>
    <t>امضا و اثر انگشت :</t>
  </si>
  <si>
    <t>تاریخ شروع بکار در سال جدید</t>
  </si>
  <si>
    <t>تاریخ پایان کار در سال جاری</t>
  </si>
  <si>
    <t>1404/12/29</t>
  </si>
  <si>
    <t>عیدی</t>
  </si>
  <si>
    <t>مهدی مقدسی</t>
  </si>
  <si>
    <t>مریم گودرزی</t>
  </si>
  <si>
    <t>اشکان فناییان</t>
  </si>
  <si>
    <t>فرشید  پیرهادی</t>
  </si>
  <si>
    <t>ناهید بخشی</t>
  </si>
  <si>
    <t>1402/01/01</t>
  </si>
  <si>
    <t>1402/02/01</t>
  </si>
  <si>
    <t>1403/01/01</t>
  </si>
  <si>
    <t>1403/03/01</t>
  </si>
  <si>
    <t>حداقل حقوق مصوب 1405</t>
  </si>
  <si>
    <t>تاریخ تهیه : 1405/01/31</t>
  </si>
  <si>
    <t>سال 1405</t>
  </si>
  <si>
    <t>محاسبه مالیات حقوق با سازمان امور مالیاتی</t>
  </si>
  <si>
    <t>نام دانشجو</t>
  </si>
  <si>
    <t>الف</t>
  </si>
  <si>
    <t>ب</t>
  </si>
  <si>
    <t>ج</t>
  </si>
  <si>
    <t>د</t>
  </si>
  <si>
    <t>نمره</t>
  </si>
  <si>
    <t>وضعیت قبولی</t>
  </si>
  <si>
    <t>زیر 10</t>
  </si>
  <si>
    <t>تجدید</t>
  </si>
  <si>
    <t>بین 10 تا 11.99</t>
  </si>
  <si>
    <t>مشروط</t>
  </si>
  <si>
    <t>12به بالاتر</t>
  </si>
  <si>
    <t>قبول</t>
  </si>
  <si>
    <t>وضعیت قبولی جدید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</si>
</sst>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(* #,##0_);_(* \(#,##0\);_(* &quot;-&quot;_);_(@_)"/>
    <numFmt numFmtId="43" formatCode="_(* #,##0.00_);_(* \(#,##0.00\);_(* &quot;-&quot;??_);_(@_)"/>
    <numFmt numFmtId="164" formatCode="_-* #,##0_-;_-* #,##0\-;_-* &quot;-&quot;_-;_-@_-"/>
    <numFmt numFmtId="165" formatCode="_-* #,##0.00_-;_-* #,##0.00\-;_-* &quot;-&quot;??_-;_-@_-"/>
    <numFmt numFmtId="166" formatCode="_-* #,##0_-;_-* #,##0\-;_-* &quot;-&quot;??_-;_-@_-"/>
    <numFmt numFmtId="167" formatCode="_-* #,##0.00\ _ر_ي_ا_ل_-;\-* #,##0.00\ _ر_ي_ا_ل_-;_-* &quot;-&quot;??\ _ر_ي_ا_ل_-;_-@_-"/>
    <numFmt numFmtId="168" formatCode="&quot;Yes&quot;;&quot;Yes&quot;;&quot;No&quot;"/>
    <numFmt numFmtId="169" formatCode="_-* #\,##0.00_-;_-* #\,##0.00\-;_-* &quot;-&quot;??_-;_-@_-"/>
    <numFmt numFmtId="170" formatCode="#,##0_-;[Red]\(#,###\)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B Nazanin"/>
      <charset val="178"/>
    </font>
    <font>
      <sz val="11"/>
      <color theme="1"/>
      <name val="B Nazanin"/>
      <charset val="178"/>
    </font>
    <font>
      <u/>
      <sz val="11"/>
      <color theme="10"/>
      <name val="Aptos Narrow"/>
      <family val="2"/>
      <scheme val="minor"/>
    </font>
    <font>
      <sz val="10"/>
      <name val="Arial"/>
      <family val="2"/>
    </font>
    <font>
      <b/>
      <sz val="11"/>
      <color rgb="FFFF0000"/>
      <name val="B Nazanin"/>
      <charset val="178"/>
    </font>
    <font>
      <sz val="11"/>
      <name val="B Nazanin"/>
      <charset val="178"/>
    </font>
    <font>
      <sz val="11"/>
      <color rgb="FFFF0000"/>
      <name val="B Nazanin"/>
      <charset val="178"/>
    </font>
    <font>
      <sz val="11"/>
      <color rgb="FFFF0000"/>
      <name val="B Zar"/>
      <charset val="178"/>
    </font>
    <font>
      <sz val="8"/>
      <name val="Aptos Narrow"/>
      <family val="2"/>
      <scheme val="minor"/>
    </font>
    <font>
      <u/>
      <sz val="11"/>
      <color theme="10"/>
      <name val="B Nazanin"/>
      <charset val="178"/>
    </font>
    <font>
      <sz val="11"/>
      <color theme="1"/>
      <name val="Aptos Narrow"/>
      <family val="2"/>
      <charset val="178"/>
      <scheme val="minor"/>
    </font>
    <font>
      <b/>
      <sz val="16"/>
      <color theme="1"/>
      <name val="B Nazanin"/>
      <charset val="178"/>
    </font>
    <font>
      <b/>
      <i/>
      <sz val="11"/>
      <color theme="1"/>
      <name val="B Nazanin"/>
      <charset val="178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1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167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/>
    <xf numFmtId="165" fontId="12" fillId="0" borderId="0" applyFont="0" applyFill="0" applyBorder="0" applyAlignment="0" applyProtection="0"/>
    <xf numFmtId="41" fontId="12" fillId="0" borderId="0" applyFont="0" applyFill="0" applyBorder="0" applyAlignment="0" applyProtection="0"/>
  </cellStyleXfs>
  <cellXfs count="163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166" fontId="3" fillId="0" borderId="0" xfId="0" applyNumberFormat="1" applyFont="1"/>
    <xf numFmtId="164" fontId="3" fillId="0" borderId="0" xfId="2" applyFont="1"/>
    <xf numFmtId="164" fontId="3" fillId="0" borderId="1" xfId="2" applyFont="1" applyBorder="1"/>
    <xf numFmtId="164" fontId="3" fillId="0" borderId="1" xfId="2" applyFont="1" applyBorder="1" applyAlignment="1">
      <alignment horizontal="center"/>
    </xf>
    <xf numFmtId="166" fontId="3" fillId="0" borderId="7" xfId="1" applyNumberFormat="1" applyFont="1" applyBorder="1"/>
    <xf numFmtId="0" fontId="3" fillId="0" borderId="7" xfId="0" applyFont="1" applyBorder="1"/>
    <xf numFmtId="9" fontId="3" fillId="0" borderId="7" xfId="0" applyNumberFormat="1" applyFont="1" applyBorder="1"/>
    <xf numFmtId="164" fontId="3" fillId="3" borderId="1" xfId="2" applyFont="1" applyFill="1" applyBorder="1" applyAlignment="1">
      <alignment horizontal="center" vertical="center" wrapText="1"/>
    </xf>
    <xf numFmtId="164" fontId="3" fillId="0" borderId="1" xfId="2" applyFont="1" applyBorder="1" applyAlignment="1">
      <alignment horizontal="center" vertical="center" wrapText="1"/>
    </xf>
    <xf numFmtId="164" fontId="7" fillId="0" borderId="1" xfId="2" applyFont="1" applyFill="1" applyBorder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7" borderId="1" xfId="0" applyFont="1" applyFill="1" applyBorder="1" applyAlignment="1" applyProtection="1">
      <alignment horizontal="center" vertical="center" wrapText="1"/>
      <protection locked="0"/>
    </xf>
    <xf numFmtId="164" fontId="3" fillId="7" borderId="1" xfId="2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Protection="1">
      <protection locked="0"/>
    </xf>
    <xf numFmtId="0" fontId="3" fillId="0" borderId="3" xfId="0" applyFont="1" applyBorder="1" applyProtection="1">
      <protection locked="0"/>
    </xf>
    <xf numFmtId="166" fontId="3" fillId="2" borderId="3" xfId="2" applyNumberFormat="1" applyFont="1" applyFill="1" applyBorder="1" applyProtection="1">
      <protection locked="0"/>
    </xf>
    <xf numFmtId="164" fontId="3" fillId="0" borderId="4" xfId="2" applyFont="1" applyBorder="1" applyAlignment="1" applyProtection="1">
      <alignment horizontal="center"/>
      <protection locked="0"/>
    </xf>
    <xf numFmtId="0" fontId="3" fillId="0" borderId="5" xfId="0" applyFont="1" applyBorder="1" applyProtection="1">
      <protection locked="0"/>
    </xf>
    <xf numFmtId="0" fontId="3" fillId="0" borderId="6" xfId="0" applyFont="1" applyBorder="1" applyProtection="1">
      <protection locked="0"/>
    </xf>
    <xf numFmtId="164" fontId="3" fillId="0" borderId="10" xfId="2" applyFont="1" applyBorder="1" applyAlignment="1" applyProtection="1">
      <alignment horizontal="center"/>
      <protection locked="0"/>
    </xf>
    <xf numFmtId="164" fontId="3" fillId="0" borderId="12" xfId="2" applyFont="1" applyBorder="1" applyAlignment="1" applyProtection="1">
      <alignment horizontal="center"/>
      <protection locked="0"/>
    </xf>
    <xf numFmtId="164" fontId="3" fillId="0" borderId="13" xfId="2" applyFont="1" applyBorder="1" applyAlignment="1" applyProtection="1">
      <alignment horizontal="center"/>
      <protection locked="0"/>
    </xf>
    <xf numFmtId="3" fontId="3" fillId="0" borderId="0" xfId="0" applyNumberFormat="1" applyFont="1" applyProtection="1">
      <protection locked="0"/>
    </xf>
    <xf numFmtId="169" fontId="3" fillId="0" borderId="0" xfId="0" applyNumberFormat="1" applyFo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Protection="1">
      <protection locked="0"/>
    </xf>
    <xf numFmtId="0" fontId="8" fillId="0" borderId="0" xfId="0" applyFont="1" applyAlignment="1" applyProtection="1">
      <alignment wrapText="1"/>
      <protection locked="0"/>
    </xf>
    <xf numFmtId="166" fontId="8" fillId="0" borderId="0" xfId="1" applyNumberFormat="1" applyFont="1" applyFill="1" applyBorder="1" applyProtection="1">
      <protection locked="0"/>
    </xf>
    <xf numFmtId="164" fontId="3" fillId="0" borderId="0" xfId="0" applyNumberFormat="1" applyFont="1" applyProtection="1">
      <protection locked="0"/>
    </xf>
    <xf numFmtId="164" fontId="3" fillId="0" borderId="0" xfId="2" applyFont="1" applyFill="1" applyBorder="1" applyProtection="1">
      <protection locked="0"/>
    </xf>
    <xf numFmtId="164" fontId="9" fillId="0" borderId="0" xfId="2" applyFont="1" applyFill="1" applyBorder="1" applyProtection="1">
      <protection locked="0"/>
    </xf>
    <xf numFmtId="9" fontId="9" fillId="0" borderId="0" xfId="7" applyFont="1" applyFill="1" applyBorder="1" applyAlignment="1" applyProtection="1">
      <alignment horizontal="center"/>
      <protection locked="0"/>
    </xf>
    <xf numFmtId="41" fontId="9" fillId="0" borderId="0" xfId="0" applyNumberFormat="1" applyFont="1" applyProtection="1">
      <protection locked="0"/>
    </xf>
    <xf numFmtId="166" fontId="8" fillId="0" borderId="0" xfId="0" applyNumberFormat="1" applyFont="1" applyProtection="1">
      <protection locked="0"/>
    </xf>
    <xf numFmtId="0" fontId="3" fillId="0" borderId="0" xfId="0" applyFont="1" applyAlignment="1" applyProtection="1">
      <alignment vertical="center" wrapText="1"/>
      <protection locked="0"/>
    </xf>
    <xf numFmtId="169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166" fontId="8" fillId="0" borderId="0" xfId="0" applyNumberFormat="1" applyFont="1" applyAlignment="1" applyProtection="1">
      <alignment vertical="center"/>
      <protection locked="0"/>
    </xf>
    <xf numFmtId="164" fontId="3" fillId="0" borderId="0" xfId="0" applyNumberFormat="1" applyFont="1" applyAlignment="1" applyProtection="1">
      <alignment vertical="center"/>
      <protection locked="0"/>
    </xf>
    <xf numFmtId="43" fontId="3" fillId="0" borderId="0" xfId="0" applyNumberFormat="1" applyFont="1" applyAlignment="1" applyProtection="1">
      <alignment vertical="center"/>
      <protection locked="0"/>
    </xf>
    <xf numFmtId="164" fontId="3" fillId="0" borderId="0" xfId="2" applyFont="1" applyProtection="1"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43" fontId="3" fillId="0" borderId="0" xfId="0" applyNumberFormat="1" applyFont="1" applyProtection="1">
      <protection locked="0"/>
    </xf>
    <xf numFmtId="164" fontId="8" fillId="0" borderId="0" xfId="0" applyNumberFormat="1" applyFont="1" applyProtection="1">
      <protection locked="0"/>
    </xf>
    <xf numFmtId="165" fontId="8" fillId="0" borderId="0" xfId="0" applyNumberFormat="1" applyFont="1" applyProtection="1">
      <protection locked="0"/>
    </xf>
    <xf numFmtId="9" fontId="8" fillId="0" borderId="0" xfId="0" applyNumberFormat="1" applyFont="1" applyProtection="1">
      <protection locked="0"/>
    </xf>
    <xf numFmtId="43" fontId="8" fillId="0" borderId="0" xfId="0" applyNumberFormat="1" applyFont="1" applyProtection="1">
      <protection locked="0"/>
    </xf>
    <xf numFmtId="166" fontId="3" fillId="2" borderId="3" xfId="2" applyNumberFormat="1" applyFont="1" applyFill="1" applyBorder="1" applyProtection="1"/>
    <xf numFmtId="164" fontId="3" fillId="2" borderId="3" xfId="2" applyFont="1" applyFill="1" applyBorder="1" applyProtection="1"/>
    <xf numFmtId="164" fontId="3" fillId="2" borderId="11" xfId="2" applyFont="1" applyFill="1" applyBorder="1" applyProtection="1"/>
    <xf numFmtId="166" fontId="3" fillId="0" borderId="4" xfId="1" applyNumberFormat="1" applyFont="1" applyBorder="1" applyAlignment="1" applyProtection="1">
      <alignment horizontal="center"/>
    </xf>
    <xf numFmtId="164" fontId="3" fillId="0" borderId="4" xfId="2" applyFont="1" applyBorder="1" applyAlignment="1" applyProtection="1">
      <alignment horizontal="center"/>
    </xf>
    <xf numFmtId="38" fontId="3" fillId="0" borderId="4" xfId="2" applyNumberFormat="1" applyFont="1" applyBorder="1" applyAlignment="1" applyProtection="1">
      <alignment horizontal="center"/>
    </xf>
    <xf numFmtId="164" fontId="3" fillId="0" borderId="14" xfId="2" applyFont="1" applyBorder="1" applyProtection="1"/>
    <xf numFmtId="164" fontId="3" fillId="0" borderId="14" xfId="0" applyNumberFormat="1" applyFont="1" applyBorder="1"/>
    <xf numFmtId="0" fontId="3" fillId="0" borderId="14" xfId="0" applyFont="1" applyBorder="1"/>
    <xf numFmtId="164" fontId="3" fillId="0" borderId="14" xfId="2" applyFont="1" applyBorder="1" applyAlignment="1" applyProtection="1">
      <alignment horizontal="center"/>
    </xf>
    <xf numFmtId="164" fontId="2" fillId="6" borderId="1" xfId="0" applyNumberFormat="1" applyFont="1" applyFill="1" applyBorder="1" applyAlignment="1">
      <alignment vertical="center"/>
    </xf>
    <xf numFmtId="165" fontId="2" fillId="6" borderId="1" xfId="0" applyNumberFormat="1" applyFont="1" applyFill="1" applyBorder="1" applyAlignment="1">
      <alignment vertical="center"/>
    </xf>
    <xf numFmtId="0" fontId="2" fillId="6" borderId="1" xfId="0" applyFont="1" applyFill="1" applyBorder="1" applyAlignment="1">
      <alignment vertical="center"/>
    </xf>
    <xf numFmtId="166" fontId="3" fillId="0" borderId="1" xfId="1" applyNumberFormat="1" applyFont="1" applyBorder="1" applyProtection="1"/>
    <xf numFmtId="164" fontId="3" fillId="0" borderId="1" xfId="0" applyNumberFormat="1" applyFont="1" applyBorder="1"/>
    <xf numFmtId="164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/>
    <xf numFmtId="9" fontId="3" fillId="0" borderId="1" xfId="7" applyFont="1" applyBorder="1" applyAlignment="1">
      <alignment horizontal="center"/>
    </xf>
    <xf numFmtId="41" fontId="3" fillId="0" borderId="1" xfId="0" applyNumberFormat="1" applyFont="1" applyBorder="1"/>
    <xf numFmtId="0" fontId="4" fillId="0" borderId="1" xfId="3" quotePrefix="1" applyBorder="1"/>
    <xf numFmtId="0" fontId="11" fillId="0" borderId="1" xfId="3" quotePrefix="1" applyFont="1" applyBorder="1"/>
    <xf numFmtId="0" fontId="3" fillId="7" borderId="1" xfId="0" applyFont="1" applyFill="1" applyBorder="1"/>
    <xf numFmtId="0" fontId="4" fillId="0" borderId="1" xfId="3" applyBorder="1"/>
    <xf numFmtId="0" fontId="8" fillId="9" borderId="20" xfId="0" applyFont="1" applyFill="1" applyBorder="1"/>
    <xf numFmtId="0" fontId="8" fillId="9" borderId="21" xfId="0" applyFont="1" applyFill="1" applyBorder="1"/>
    <xf numFmtId="0" fontId="8" fillId="9" borderId="22" xfId="0" applyFont="1" applyFill="1" applyBorder="1"/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/>
    <xf numFmtId="166" fontId="3" fillId="0" borderId="27" xfId="1" applyNumberFormat="1" applyFont="1" applyBorder="1"/>
    <xf numFmtId="0" fontId="3" fillId="0" borderId="28" xfId="0" applyFont="1" applyBorder="1"/>
    <xf numFmtId="0" fontId="3" fillId="0" borderId="27" xfId="0" applyFont="1" applyBorder="1"/>
    <xf numFmtId="0" fontId="3" fillId="0" borderId="24" xfId="0" applyFont="1" applyBorder="1"/>
    <xf numFmtId="0" fontId="2" fillId="5" borderId="23" xfId="0" applyFont="1" applyFill="1" applyBorder="1" applyAlignment="1">
      <alignment horizontal="center" vertical="center" wrapText="1"/>
    </xf>
    <xf numFmtId="166" fontId="2" fillId="5" borderId="24" xfId="1" applyNumberFormat="1" applyFont="1" applyFill="1" applyBorder="1"/>
    <xf numFmtId="0" fontId="2" fillId="5" borderId="24" xfId="0" applyFont="1" applyFill="1" applyBorder="1"/>
    <xf numFmtId="166" fontId="2" fillId="5" borderId="25" xfId="1" applyNumberFormat="1" applyFont="1" applyFill="1" applyBorder="1"/>
    <xf numFmtId="0" fontId="3" fillId="10" borderId="20" xfId="0" applyFont="1" applyFill="1" applyBorder="1"/>
    <xf numFmtId="166" fontId="3" fillId="10" borderId="21" xfId="1" applyNumberFormat="1" applyFont="1" applyFill="1" applyBorder="1"/>
    <xf numFmtId="0" fontId="3" fillId="10" borderId="21" xfId="0" applyFont="1" applyFill="1" applyBorder="1"/>
    <xf numFmtId="0" fontId="3" fillId="10" borderId="22" xfId="0" applyFont="1" applyFill="1" applyBorder="1"/>
    <xf numFmtId="166" fontId="3" fillId="0" borderId="0" xfId="1" applyNumberFormat="1" applyFont="1"/>
    <xf numFmtId="0" fontId="3" fillId="10" borderId="23" xfId="0" applyFont="1" applyFill="1" applyBorder="1"/>
    <xf numFmtId="0" fontId="3" fillId="10" borderId="24" xfId="0" applyFont="1" applyFill="1" applyBorder="1"/>
    <xf numFmtId="0" fontId="3" fillId="10" borderId="25" xfId="0" applyFont="1" applyFill="1" applyBorder="1"/>
    <xf numFmtId="0" fontId="3" fillId="7" borderId="26" xfId="0" applyFont="1" applyFill="1" applyBorder="1" applyAlignment="1" applyProtection="1">
      <alignment horizontal="center" vertical="center" wrapText="1"/>
      <protection locked="0"/>
    </xf>
    <xf numFmtId="164" fontId="3" fillId="7" borderId="26" xfId="2" applyFont="1" applyFill="1" applyBorder="1" applyAlignment="1" applyProtection="1">
      <alignment horizontal="center" vertical="center" wrapText="1"/>
      <protection locked="0"/>
    </xf>
    <xf numFmtId="0" fontId="3" fillId="7" borderId="29" xfId="0" applyFont="1" applyFill="1" applyBorder="1" applyAlignment="1" applyProtection="1">
      <alignment horizontal="center" vertical="center" wrapText="1"/>
      <protection locked="0"/>
    </xf>
    <xf numFmtId="164" fontId="3" fillId="7" borderId="26" xfId="2" applyFont="1" applyFill="1" applyBorder="1" applyAlignment="1">
      <alignment horizontal="center" vertical="center" wrapText="1"/>
    </xf>
    <xf numFmtId="0" fontId="3" fillId="4" borderId="1" xfId="0" applyFont="1" applyFill="1" applyBorder="1"/>
    <xf numFmtId="0" fontId="11" fillId="4" borderId="1" xfId="3" applyFont="1" applyFill="1" applyBorder="1"/>
    <xf numFmtId="0" fontId="3" fillId="11" borderId="1" xfId="0" applyFont="1" applyFill="1" applyBorder="1"/>
    <xf numFmtId="0" fontId="11" fillId="11" borderId="1" xfId="3" applyFont="1" applyFill="1" applyBorder="1"/>
    <xf numFmtId="0" fontId="3" fillId="11" borderId="20" xfId="0" applyFont="1" applyFill="1" applyBorder="1"/>
    <xf numFmtId="0" fontId="3" fillId="11" borderId="21" xfId="0" applyFont="1" applyFill="1" applyBorder="1"/>
    <xf numFmtId="0" fontId="3" fillId="11" borderId="22" xfId="0" applyFont="1" applyFill="1" applyBorder="1"/>
    <xf numFmtId="0" fontId="3" fillId="11" borderId="24" xfId="0" applyFont="1" applyFill="1" applyBorder="1"/>
    <xf numFmtId="0" fontId="3" fillId="11" borderId="25" xfId="0" applyFont="1" applyFill="1" applyBorder="1"/>
    <xf numFmtId="164" fontId="3" fillId="11" borderId="23" xfId="2" applyFont="1" applyFill="1" applyBorder="1" applyAlignment="1">
      <alignment horizontal="center" vertical="center" wrapText="1"/>
    </xf>
    <xf numFmtId="166" fontId="3" fillId="11" borderId="24" xfId="1" applyNumberFormat="1" applyFont="1" applyFill="1" applyBorder="1"/>
    <xf numFmtId="0" fontId="3" fillId="0" borderId="0" xfId="8" applyFont="1"/>
    <xf numFmtId="0" fontId="3" fillId="0" borderId="8" xfId="8" applyFont="1" applyBorder="1"/>
    <xf numFmtId="0" fontId="3" fillId="0" borderId="15" xfId="8" applyFont="1" applyBorder="1"/>
    <xf numFmtId="0" fontId="3" fillId="0" borderId="16" xfId="8" applyFont="1" applyBorder="1"/>
    <xf numFmtId="0" fontId="3" fillId="0" borderId="30" xfId="8" applyFont="1" applyBorder="1"/>
    <xf numFmtId="0" fontId="14" fillId="0" borderId="0" xfId="8" applyFont="1" applyAlignment="1">
      <alignment horizontal="center"/>
    </xf>
    <xf numFmtId="166" fontId="2" fillId="0" borderId="9" xfId="9" applyNumberFormat="1" applyFont="1" applyBorder="1" applyAlignment="1">
      <alignment horizontal="center"/>
    </xf>
    <xf numFmtId="41" fontId="2" fillId="0" borderId="0" xfId="10" applyFont="1"/>
    <xf numFmtId="0" fontId="3" fillId="2" borderId="0" xfId="8" applyFont="1" applyFill="1" applyAlignment="1">
      <alignment horizontal="center"/>
    </xf>
    <xf numFmtId="0" fontId="3" fillId="2" borderId="9" xfId="8" applyFont="1" applyFill="1" applyBorder="1" applyAlignment="1">
      <alignment horizontal="center"/>
    </xf>
    <xf numFmtId="0" fontId="3" fillId="0" borderId="18" xfId="8" applyFont="1" applyBorder="1"/>
    <xf numFmtId="0" fontId="3" fillId="0" borderId="19" xfId="8" applyFont="1" applyBorder="1"/>
    <xf numFmtId="166" fontId="3" fillId="0" borderId="0" xfId="9" applyNumberFormat="1" applyFont="1" applyBorder="1"/>
    <xf numFmtId="0" fontId="3" fillId="0" borderId="9" xfId="8" applyFont="1" applyBorder="1"/>
    <xf numFmtId="166" fontId="3" fillId="0" borderId="9" xfId="9" applyNumberFormat="1" applyFont="1" applyBorder="1"/>
    <xf numFmtId="0" fontId="3" fillId="0" borderId="0" xfId="8" applyFont="1" applyAlignment="1">
      <alignment horizontal="center"/>
    </xf>
    <xf numFmtId="38" fontId="3" fillId="0" borderId="0" xfId="8" applyNumberFormat="1" applyFont="1"/>
    <xf numFmtId="166" fontId="3" fillId="0" borderId="0" xfId="9" applyNumberFormat="1" applyFont="1" applyBorder="1" applyAlignment="1">
      <alignment horizontal="center"/>
    </xf>
    <xf numFmtId="1" fontId="3" fillId="0" borderId="0" xfId="8" applyNumberFormat="1" applyFont="1" applyAlignment="1">
      <alignment horizontal="center"/>
    </xf>
    <xf numFmtId="170" fontId="3" fillId="0" borderId="9" xfId="9" applyNumberFormat="1" applyFont="1" applyBorder="1"/>
    <xf numFmtId="166" fontId="3" fillId="0" borderId="0" xfId="8" applyNumberFormat="1" applyFont="1" applyAlignment="1">
      <alignment horizontal="center"/>
    </xf>
    <xf numFmtId="166" fontId="3" fillId="0" borderId="0" xfId="8" applyNumberFormat="1" applyFont="1"/>
    <xf numFmtId="0" fontId="3" fillId="0" borderId="17" xfId="8" applyFont="1" applyBorder="1"/>
    <xf numFmtId="166" fontId="3" fillId="0" borderId="19" xfId="9" applyNumberFormat="1" applyFont="1" applyBorder="1"/>
    <xf numFmtId="0" fontId="2" fillId="0" borderId="30" xfId="8" applyFont="1" applyBorder="1"/>
    <xf numFmtId="166" fontId="2" fillId="0" borderId="0" xfId="8" applyNumberFormat="1" applyFont="1"/>
    <xf numFmtId="0" fontId="2" fillId="0" borderId="17" xfId="8" applyFont="1" applyBorder="1"/>
    <xf numFmtId="0" fontId="2" fillId="0" borderId="18" xfId="8" applyFont="1" applyBorder="1"/>
    <xf numFmtId="0" fontId="2" fillId="0" borderId="8" xfId="8" applyFont="1" applyBorder="1"/>
    <xf numFmtId="166" fontId="3" fillId="0" borderId="0" xfId="0" applyNumberFormat="1" applyFont="1" applyProtection="1">
      <protection locked="0"/>
    </xf>
    <xf numFmtId="164" fontId="3" fillId="0" borderId="0" xfId="0" applyNumberFormat="1" applyFont="1"/>
    <xf numFmtId="0" fontId="6" fillId="0" borderId="0" xfId="0" applyFont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9" fillId="0" borderId="0" xfId="0" applyFont="1" applyAlignment="1" applyProtection="1">
      <alignment horizontal="center"/>
      <protection locked="0"/>
    </xf>
    <xf numFmtId="0" fontId="2" fillId="8" borderId="20" xfId="0" applyFont="1" applyFill="1" applyBorder="1" applyAlignment="1">
      <alignment horizontal="center"/>
    </xf>
    <xf numFmtId="0" fontId="2" fillId="8" borderId="21" xfId="0" applyFont="1" applyFill="1" applyBorder="1" applyAlignment="1">
      <alignment horizontal="center"/>
    </xf>
    <xf numFmtId="0" fontId="2" fillId="8" borderId="22" xfId="0" applyFont="1" applyFill="1" applyBorder="1" applyAlignment="1">
      <alignment horizontal="center"/>
    </xf>
    <xf numFmtId="0" fontId="2" fillId="8" borderId="28" xfId="0" applyFont="1" applyFill="1" applyBorder="1" applyAlignment="1">
      <alignment horizontal="center"/>
    </xf>
    <xf numFmtId="0" fontId="2" fillId="8" borderId="0" xfId="0" applyFont="1" applyFill="1" applyAlignment="1">
      <alignment horizontal="center"/>
    </xf>
    <xf numFmtId="0" fontId="2" fillId="8" borderId="27" xfId="0" applyFont="1" applyFill="1" applyBorder="1" applyAlignment="1">
      <alignment horizontal="center"/>
    </xf>
    <xf numFmtId="0" fontId="2" fillId="8" borderId="23" xfId="0" applyFont="1" applyFill="1" applyBorder="1" applyAlignment="1">
      <alignment horizontal="center"/>
    </xf>
    <xf numFmtId="0" fontId="2" fillId="8" borderId="24" xfId="0" applyFont="1" applyFill="1" applyBorder="1" applyAlignment="1">
      <alignment horizontal="center"/>
    </xf>
    <xf numFmtId="0" fontId="2" fillId="8" borderId="25" xfId="0" applyFont="1" applyFill="1" applyBorder="1" applyAlignment="1">
      <alignment horizontal="center"/>
    </xf>
    <xf numFmtId="0" fontId="13" fillId="0" borderId="0" xfId="8" applyFont="1" applyAlignment="1">
      <alignment horizontal="center"/>
    </xf>
    <xf numFmtId="0" fontId="13" fillId="0" borderId="18" xfId="8" applyFont="1" applyBorder="1" applyAlignment="1">
      <alignment horizontal="center" vertical="center"/>
    </xf>
    <xf numFmtId="0" fontId="3" fillId="0" borderId="8" xfId="8" applyFont="1" applyBorder="1" applyAlignment="1">
      <alignment horizontal="distributed"/>
    </xf>
    <xf numFmtId="0" fontId="3" fillId="0" borderId="15" xfId="8" applyFont="1" applyBorder="1" applyAlignment="1">
      <alignment horizontal="distributed"/>
    </xf>
    <xf numFmtId="0" fontId="3" fillId="0" borderId="16" xfId="8" applyFont="1" applyBorder="1" applyAlignment="1">
      <alignment horizontal="distributed"/>
    </xf>
  </cellXfs>
  <cellStyles count="11">
    <cellStyle name="Comma" xfId="1" builtinId="3"/>
    <cellStyle name="Comma [0]" xfId="2" builtinId="6"/>
    <cellStyle name="Comma [0] 2" xfId="10" xr:uid="{06DBC0F9-FAA5-4E55-AD1E-0C088D6C0C92}"/>
    <cellStyle name="Comma 2" xfId="5" xr:uid="{FF1E7FF0-B028-4CBD-8ED8-47CC70EEF1FD}"/>
    <cellStyle name="Comma 2 2" xfId="6" xr:uid="{496CCBF7-5307-4B63-B3DD-2358BDCD318D}"/>
    <cellStyle name="Comma 3" xfId="9" xr:uid="{127F06DF-5F31-43DB-BBC3-171B56E4209A}"/>
    <cellStyle name="Hyperlink" xfId="3" builtinId="8"/>
    <cellStyle name="Normal" xfId="0" builtinId="0"/>
    <cellStyle name="Normal 2" xfId="4" xr:uid="{32E46F68-8080-4AFE-964B-36522A99DADD}"/>
    <cellStyle name="Normal 3" xfId="8" xr:uid="{AD52FBB4-03E0-47FA-B143-A39816DBA05C}"/>
    <cellStyle name="Percent 2" xfId="7" xr:uid="{5ECCB6AB-11E5-424F-BDA2-61BC85D8D9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heetMetadata" Target="metadata.xml"/></Relationships>
</file>

<file path=xl/ctrlProps/ctrlProp1.xml><?xml version="1.0" encoding="utf-8"?>
<formControlPr xmlns="http://schemas.microsoft.com/office/spreadsheetml/2009/9/main" objectType="Spin" dx="16" fmlaLink="$E$4" max="1005" min="1001" page="10" val="1005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85725</xdr:colOff>
          <xdr:row>3</xdr:row>
          <xdr:rowOff>19050</xdr:rowOff>
        </xdr:from>
        <xdr:to>
          <xdr:col>8</xdr:col>
          <xdr:colOff>552450</xdr:colOff>
          <xdr:row>9</xdr:row>
          <xdr:rowOff>9525</xdr:rowOff>
        </xdr:to>
        <xdr:sp macro="" textlink="">
          <xdr:nvSpPr>
            <xdr:cNvPr id="22529" name="Spinner 1" hidden="1">
              <a:extLst>
                <a:ext uri="{63B3BB69-23CF-44E3-9099-C40C66FF867C}">
                  <a14:compatExt spid="_x0000_s22529"/>
                </a:ext>
                <a:ext uri="{FF2B5EF4-FFF2-40B4-BE49-F238E27FC236}">
                  <a16:creationId xmlns:a16="http://schemas.microsoft.com/office/drawing/2014/main" id="{00000000-0008-0000-0400-000001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1404/4th/salary%20information%201404-%20kham.xlsx" TargetMode="External"/><Relationship Id="rId2" Type="http://schemas.openxmlformats.org/officeDocument/2006/relationships/externalLinkPath" Target="file:///D:\00-Teaching\Pact\Payroll\1404\4th\salary%20information%201404-%20kham.xlsx" TargetMode="External"/><Relationship Id="rId1" Type="http://schemas.openxmlformats.org/officeDocument/2006/relationships/externalLinkPath" Target="/00-Teaching/Pact/Payroll/1404/4th/salary%20information%201404-%20kham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Persian%20Function%20For%20EXCEL.xla" TargetMode="External"/><Relationship Id="rId1" Type="http://schemas.openxmlformats.org/officeDocument/2006/relationships/externalLinkPath" Target="file:///C:\Persian%20Function%20For%20EXCEL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حکم پرسنلی"/>
      <sheetName val="کارکرد فروردین"/>
      <sheetName val="فیش حقوقی"/>
      <sheetName val="فروردین تفکیکی"/>
      <sheetName val="Sheet1"/>
    </sheetNames>
    <sheetDataSet>
      <sheetData sheetId="0">
        <row r="5">
          <cell r="A5" t="str">
            <v>شماره پرسنلی</v>
          </cell>
          <cell r="B5" t="str">
            <v>نام و نام خانوادگی</v>
          </cell>
          <cell r="C5" t="str">
            <v>تاریخ استخدام</v>
          </cell>
          <cell r="D5" t="str">
            <v xml:space="preserve">میلغ حقوق </v>
          </cell>
          <cell r="E5" t="str">
            <v>حق جذب</v>
          </cell>
          <cell r="F5" t="str">
            <v>پایه سنوات</v>
          </cell>
          <cell r="G5"/>
          <cell r="H5" t="str">
            <v>جمع حقوق و مزایای به تبع شغل</v>
          </cell>
          <cell r="I5" t="str">
            <v>تعدا ساعت شبکاری</v>
          </cell>
          <cell r="J5" t="str">
            <v>مبلغ شبکاری</v>
          </cell>
          <cell r="K5" t="str">
            <v>تعداداولاد</v>
          </cell>
          <cell r="L5" t="str">
            <v>حق تاهل</v>
          </cell>
          <cell r="M5" t="str">
            <v>حق خواروبار  و مسکن</v>
          </cell>
          <cell r="N5" t="str">
            <v>تعداد روز کارکرد از ابتدا</v>
          </cell>
          <cell r="O5" t="str">
            <v>مزایای پایان خدمت</v>
          </cell>
          <cell r="P5" t="str">
            <v>سقف عیدی</v>
          </cell>
          <cell r="Q5" t="str">
            <v>عیدی مشمول مالیات</v>
          </cell>
        </row>
        <row r="6">
          <cell r="A6">
            <v>1001</v>
          </cell>
          <cell r="B6" t="str">
            <v>علی پور گنجی</v>
          </cell>
          <cell r="C6" t="str">
            <v>1402/02/01</v>
          </cell>
          <cell r="D6">
            <v>92476050</v>
          </cell>
          <cell r="E6">
            <v>33264000</v>
          </cell>
          <cell r="F6">
            <v>2772000</v>
          </cell>
          <cell r="G6"/>
          <cell r="H6">
            <v>128512050</v>
          </cell>
          <cell r="I6">
            <v>15</v>
          </cell>
          <cell r="J6">
            <v>11828950.056818182</v>
          </cell>
          <cell r="K6">
            <v>3</v>
          </cell>
          <cell r="L6">
            <v>5000000</v>
          </cell>
          <cell r="M6">
            <v>31000000</v>
          </cell>
          <cell r="N6">
            <v>700</v>
          </cell>
          <cell r="O6">
            <v>246461465.75342464</v>
          </cell>
          <cell r="P6">
            <v>257024100</v>
          </cell>
          <cell r="Q6">
            <v>17024100</v>
          </cell>
        </row>
        <row r="7">
          <cell r="A7">
            <v>1002</v>
          </cell>
          <cell r="B7" t="str">
            <v>حسین فنایان</v>
          </cell>
          <cell r="C7" t="str">
            <v>1402/01/01</v>
          </cell>
          <cell r="D7">
            <v>504316050</v>
          </cell>
          <cell r="E7">
            <v>198000000</v>
          </cell>
          <cell r="F7">
            <v>5592000</v>
          </cell>
          <cell r="G7"/>
          <cell r="H7">
            <v>707908050</v>
          </cell>
          <cell r="I7">
            <v>20</v>
          </cell>
          <cell r="J7">
            <v>86879624.318181828</v>
          </cell>
          <cell r="K7">
            <v>0</v>
          </cell>
          <cell r="L7">
            <v>0</v>
          </cell>
          <cell r="M7">
            <v>31000000</v>
          </cell>
          <cell r="N7">
            <v>731</v>
          </cell>
          <cell r="O7">
            <v>1417755574.1095891</v>
          </cell>
          <cell r="P7">
            <v>311729036.39999998</v>
          </cell>
          <cell r="Q7">
            <v>71729036.399999976</v>
          </cell>
        </row>
        <row r="8">
          <cell r="A8">
            <v>1003</v>
          </cell>
          <cell r="B8" t="str">
            <v>مریم جوهری</v>
          </cell>
          <cell r="C8" t="str">
            <v>1402/01/01</v>
          </cell>
          <cell r="D8">
            <v>131416050</v>
          </cell>
          <cell r="E8">
            <v>48840000</v>
          </cell>
          <cell r="F8">
            <v>5592000</v>
          </cell>
          <cell r="G8"/>
          <cell r="H8">
            <v>185848050</v>
          </cell>
          <cell r="I8">
            <v>30</v>
          </cell>
          <cell r="J8">
            <v>34212936.477272734</v>
          </cell>
          <cell r="K8">
            <v>1</v>
          </cell>
          <cell r="L8">
            <v>5000000</v>
          </cell>
          <cell r="M8">
            <v>31000000</v>
          </cell>
          <cell r="N8">
            <v>731</v>
          </cell>
          <cell r="O8">
            <v>372205272.73972607</v>
          </cell>
          <cell r="P8">
            <v>311729036.39999998</v>
          </cell>
          <cell r="Q8">
            <v>71729036.399999976</v>
          </cell>
        </row>
        <row r="9">
          <cell r="A9">
            <v>1004</v>
          </cell>
          <cell r="B9" t="str">
            <v>محمد فیاض یخش</v>
          </cell>
          <cell r="C9" t="str">
            <v>1402/08/30</v>
          </cell>
          <cell r="D9">
            <v>88516050</v>
          </cell>
          <cell r="E9">
            <v>33000000</v>
          </cell>
          <cell r="F9">
            <v>2772000</v>
          </cell>
          <cell r="G9"/>
          <cell r="H9">
            <v>124288050</v>
          </cell>
          <cell r="I9">
            <v>40</v>
          </cell>
          <cell r="J9">
            <v>30507066.818181816</v>
          </cell>
          <cell r="K9">
            <v>2</v>
          </cell>
          <cell r="L9">
            <v>5000000</v>
          </cell>
          <cell r="M9">
            <v>31000000</v>
          </cell>
          <cell r="N9">
            <v>486</v>
          </cell>
          <cell r="O9">
            <v>165490389.86301368</v>
          </cell>
          <cell r="P9">
            <v>248576100</v>
          </cell>
          <cell r="Q9">
            <v>8576100</v>
          </cell>
        </row>
      </sheetData>
      <sheetData sheetId="1">
        <row r="3">
          <cell r="I3" t="str">
            <v>تاریخ تهیه : 1404/01/31</v>
          </cell>
        </row>
        <row r="6">
          <cell r="A6" t="str">
            <v>شماره پرسنلی</v>
          </cell>
          <cell r="B6" t="str">
            <v>نام و نام خانوادگی</v>
          </cell>
          <cell r="C6" t="str">
            <v>تعداد روز کارکرد</v>
          </cell>
          <cell r="D6" t="str">
            <v xml:space="preserve">میلغ حقوق </v>
          </cell>
          <cell r="E6" t="str">
            <v>حق جذب</v>
          </cell>
          <cell r="F6" t="str">
            <v>پایه سنوات</v>
          </cell>
          <cell r="G6" t="str">
            <v>حقوق و مزایای به تبع شغل</v>
          </cell>
          <cell r="H6" t="str">
            <v>حقوق روزانه</v>
          </cell>
          <cell r="I6" t="str">
            <v>تعداداولاد</v>
          </cell>
          <cell r="J6" t="str">
            <v>حق اولاد</v>
          </cell>
          <cell r="K6" t="str">
            <v>حق تاهل</v>
          </cell>
          <cell r="L6" t="str">
            <v>حق خواروبار  و مسکن</v>
          </cell>
          <cell r="M6" t="str">
            <v>تعداد روز ماموریت</v>
          </cell>
          <cell r="N6" t="str">
            <v>حق ماموریت</v>
          </cell>
          <cell r="O6" t="str">
            <v>اضافه کار ساعت</v>
          </cell>
          <cell r="P6" t="str">
            <v>مبلغ اضافه کار</v>
          </cell>
          <cell r="Q6" t="str">
            <v>جمع حقوق و مزایا</v>
          </cell>
          <cell r="R6" t="str">
            <v>حقوق و مزایای مشمول بیمه</v>
          </cell>
          <cell r="S6" t="str">
            <v>بیمه سهم کارمند</v>
          </cell>
          <cell r="T6" t="str">
            <v>حقوق و مزایای مشمول مالیات</v>
          </cell>
          <cell r="U6" t="str">
            <v>مالیات</v>
          </cell>
          <cell r="V6" t="str">
            <v>جمع کسور قانونی</v>
          </cell>
          <cell r="W6" t="str">
            <v>قابل پرداخت</v>
          </cell>
        </row>
        <row r="7">
          <cell r="A7">
            <v>1001</v>
          </cell>
          <cell r="B7" t="str">
            <v>علی پور گنجی</v>
          </cell>
          <cell r="C7">
            <v>31</v>
          </cell>
          <cell r="D7">
            <v>95558585</v>
          </cell>
          <cell r="E7">
            <v>34372800</v>
          </cell>
          <cell r="F7">
            <v>2864400</v>
          </cell>
          <cell r="G7">
            <v>132795785</v>
          </cell>
          <cell r="H7">
            <v>4283735</v>
          </cell>
          <cell r="I7">
            <v>3</v>
          </cell>
          <cell r="J7">
            <v>31172903.639999997</v>
          </cell>
          <cell r="K7">
            <v>5000000</v>
          </cell>
          <cell r="L7">
            <v>31000000</v>
          </cell>
          <cell r="M7">
            <v>2</v>
          </cell>
          <cell r="N7">
            <v>8567470</v>
          </cell>
          <cell r="O7">
            <v>20</v>
          </cell>
          <cell r="P7">
            <v>16356079.09090909</v>
          </cell>
          <cell r="Q7">
            <v>224892237.73090911</v>
          </cell>
          <cell r="R7">
            <v>185151864.09090912</v>
          </cell>
          <cell r="S7">
            <v>12960630.48636364</v>
          </cell>
          <cell r="T7">
            <v>203364137.24454546</v>
          </cell>
          <cell r="U7">
            <v>0</v>
          </cell>
          <cell r="V7">
            <v>12960630.48636364</v>
          </cell>
          <cell r="W7">
            <v>211931607.24454546</v>
          </cell>
        </row>
        <row r="8">
          <cell r="A8">
            <v>1002</v>
          </cell>
          <cell r="B8" t="str">
            <v>حسین فنایان</v>
          </cell>
          <cell r="C8">
            <v>31</v>
          </cell>
          <cell r="D8">
            <v>521126585</v>
          </cell>
          <cell r="E8">
            <v>204600000</v>
          </cell>
          <cell r="F8">
            <v>5778400</v>
          </cell>
          <cell r="G8">
            <v>731504985</v>
          </cell>
          <cell r="H8">
            <v>23596935</v>
          </cell>
          <cell r="I8">
            <v>0</v>
          </cell>
          <cell r="J8">
            <v>0</v>
          </cell>
          <cell r="K8">
            <v>0</v>
          </cell>
          <cell r="L8">
            <v>31000000</v>
          </cell>
          <cell r="M8">
            <v>3</v>
          </cell>
          <cell r="N8">
            <v>70790805</v>
          </cell>
          <cell r="O8">
            <v>30</v>
          </cell>
          <cell r="P8">
            <v>135146082.27272728</v>
          </cell>
          <cell r="Q8">
            <v>968441872.27272725</v>
          </cell>
          <cell r="R8">
            <v>751613343.31999993</v>
          </cell>
          <cell r="S8">
            <v>52612934.032399997</v>
          </cell>
          <cell r="T8">
            <v>845038133.24032724</v>
          </cell>
          <cell r="U8">
            <v>137178106.63876483</v>
          </cell>
          <cell r="V8">
            <v>189791040.67116481</v>
          </cell>
          <cell r="W8">
            <v>778650831.6015625</v>
          </cell>
        </row>
        <row r="9">
          <cell r="A9">
            <v>1003</v>
          </cell>
          <cell r="B9" t="str">
            <v>مریم جوهری</v>
          </cell>
          <cell r="C9">
            <v>31</v>
          </cell>
          <cell r="D9">
            <v>135796585</v>
          </cell>
          <cell r="E9">
            <v>50468000</v>
          </cell>
          <cell r="F9">
            <v>5778400</v>
          </cell>
          <cell r="G9">
            <v>192042985</v>
          </cell>
          <cell r="H9">
            <v>6194935</v>
          </cell>
          <cell r="I9">
            <v>1</v>
          </cell>
          <cell r="J9">
            <v>10390967.879999999</v>
          </cell>
          <cell r="K9">
            <v>5000000</v>
          </cell>
          <cell r="L9">
            <v>31000000</v>
          </cell>
          <cell r="M9">
            <v>5</v>
          </cell>
          <cell r="N9">
            <v>30974675</v>
          </cell>
          <cell r="O9">
            <v>50</v>
          </cell>
          <cell r="P9">
            <v>59133470.454545446</v>
          </cell>
          <cell r="Q9">
            <v>328542098.33454543</v>
          </cell>
          <cell r="R9">
            <v>287176455.45454544</v>
          </cell>
          <cell r="S9">
            <v>20102351.881818183</v>
          </cell>
          <cell r="T9">
            <v>277465071.45272726</v>
          </cell>
          <cell r="U9">
            <v>3746507.1452727262</v>
          </cell>
          <cell r="V9">
            <v>23848859.027090907</v>
          </cell>
          <cell r="W9">
            <v>304693239.30745453</v>
          </cell>
        </row>
        <row r="10">
          <cell r="A10">
            <v>1004</v>
          </cell>
          <cell r="B10" t="str">
            <v>محمد فیاض یخش</v>
          </cell>
          <cell r="C10">
            <v>31</v>
          </cell>
          <cell r="D10">
            <v>91466585</v>
          </cell>
          <cell r="E10">
            <v>34100000</v>
          </cell>
          <cell r="F10">
            <v>2864400</v>
          </cell>
          <cell r="G10">
            <v>128430985</v>
          </cell>
          <cell r="H10">
            <v>4142935</v>
          </cell>
          <cell r="I10">
            <v>2</v>
          </cell>
          <cell r="J10">
            <v>20781935.759999998</v>
          </cell>
          <cell r="K10">
            <v>5000000</v>
          </cell>
          <cell r="L10">
            <v>31000000</v>
          </cell>
          <cell r="M10">
            <v>30</v>
          </cell>
          <cell r="N10">
            <v>124288050</v>
          </cell>
          <cell r="O10">
            <v>60</v>
          </cell>
          <cell r="P10">
            <v>47455437.272727266</v>
          </cell>
          <cell r="Q10">
            <v>356956408.03272724</v>
          </cell>
          <cell r="R10">
            <v>211886422.27272725</v>
          </cell>
          <cell r="S10">
            <v>14832049.559090909</v>
          </cell>
          <cell r="T10">
            <v>217836308.47363633</v>
          </cell>
          <cell r="U10">
            <v>0</v>
          </cell>
          <cell r="V10">
            <v>14832049.559090909</v>
          </cell>
          <cell r="W10">
            <v>342124358.47363633</v>
          </cell>
        </row>
      </sheetData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definedNames>
      <definedName name="AbH"/>
      <definedName name="J_DIFF"/>
    </defined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61370-ED6D-48F1-9BA3-FEFE77863C79}">
  <dimension ref="A3:D15"/>
  <sheetViews>
    <sheetView rightToLeft="1" zoomScale="170" zoomScaleNormal="170" workbookViewId="0">
      <selection activeCell="B4" sqref="B4"/>
    </sheetView>
  </sheetViews>
  <sheetFormatPr defaultColWidth="9.140625" defaultRowHeight="18" x14ac:dyDescent="0.45"/>
  <cols>
    <col min="1" max="1" width="9.140625" style="2"/>
    <col min="2" max="2" width="16.5703125" style="2" customWidth="1"/>
    <col min="3" max="16384" width="9.140625" style="2"/>
  </cols>
  <sheetData>
    <row r="3" spans="1:4" x14ac:dyDescent="0.45">
      <c r="A3" s="76" t="s">
        <v>80</v>
      </c>
      <c r="B3" s="76" t="s">
        <v>81</v>
      </c>
      <c r="C3" s="76" t="s">
        <v>96</v>
      </c>
      <c r="D3" s="76" t="s">
        <v>95</v>
      </c>
    </row>
    <row r="4" spans="1:4" x14ac:dyDescent="0.45">
      <c r="A4" s="4">
        <v>1</v>
      </c>
      <c r="B4" s="75" t="s">
        <v>82</v>
      </c>
      <c r="C4" s="104">
        <v>1</v>
      </c>
      <c r="D4" s="105" t="s">
        <v>64</v>
      </c>
    </row>
    <row r="5" spans="1:4" x14ac:dyDescent="0.45">
      <c r="A5" s="4">
        <v>2</v>
      </c>
      <c r="B5" s="75" t="s">
        <v>83</v>
      </c>
      <c r="C5" s="106">
        <v>2</v>
      </c>
      <c r="D5" s="107" t="s">
        <v>66</v>
      </c>
    </row>
    <row r="6" spans="1:4" x14ac:dyDescent="0.45">
      <c r="A6" s="4">
        <v>3</v>
      </c>
      <c r="B6" s="74" t="s">
        <v>87</v>
      </c>
      <c r="C6" s="104">
        <v>3</v>
      </c>
      <c r="D6" s="105" t="s">
        <v>67</v>
      </c>
    </row>
    <row r="7" spans="1:4" x14ac:dyDescent="0.45">
      <c r="A7" s="4">
        <v>4</v>
      </c>
      <c r="B7" s="77" t="s">
        <v>132</v>
      </c>
      <c r="C7" s="106">
        <v>4</v>
      </c>
      <c r="D7" s="107" t="s">
        <v>68</v>
      </c>
    </row>
    <row r="8" spans="1:4" x14ac:dyDescent="0.45">
      <c r="A8" s="4"/>
      <c r="B8" s="4"/>
      <c r="C8" s="104">
        <v>5</v>
      </c>
      <c r="D8" s="105" t="s">
        <v>69</v>
      </c>
    </row>
    <row r="9" spans="1:4" x14ac:dyDescent="0.45">
      <c r="A9" s="4"/>
      <c r="B9" s="4"/>
      <c r="C9" s="106">
        <v>6</v>
      </c>
      <c r="D9" s="107" t="s">
        <v>70</v>
      </c>
    </row>
    <row r="10" spans="1:4" x14ac:dyDescent="0.45">
      <c r="A10" s="4"/>
      <c r="B10" s="4"/>
      <c r="C10" s="104">
        <v>7</v>
      </c>
      <c r="D10" s="105" t="s">
        <v>71</v>
      </c>
    </row>
    <row r="11" spans="1:4" x14ac:dyDescent="0.45">
      <c r="A11" s="4"/>
      <c r="B11" s="4"/>
      <c r="C11" s="106">
        <v>8</v>
      </c>
      <c r="D11" s="107" t="s">
        <v>72</v>
      </c>
    </row>
    <row r="12" spans="1:4" x14ac:dyDescent="0.45">
      <c r="A12" s="4"/>
      <c r="B12" s="4"/>
      <c r="C12" s="104">
        <v>9</v>
      </c>
      <c r="D12" s="105" t="s">
        <v>73</v>
      </c>
    </row>
    <row r="13" spans="1:4" x14ac:dyDescent="0.45">
      <c r="A13" s="4"/>
      <c r="B13" s="4"/>
      <c r="C13" s="106">
        <v>10</v>
      </c>
      <c r="D13" s="107" t="s">
        <v>74</v>
      </c>
    </row>
    <row r="14" spans="1:4" x14ac:dyDescent="0.45">
      <c r="A14" s="4"/>
      <c r="B14" s="4"/>
      <c r="C14" s="104">
        <v>11</v>
      </c>
      <c r="D14" s="105" t="s">
        <v>75</v>
      </c>
    </row>
    <row r="15" spans="1:4" x14ac:dyDescent="0.45">
      <c r="A15" s="4"/>
      <c r="B15" s="4"/>
      <c r="C15" s="106">
        <v>12</v>
      </c>
      <c r="D15" s="107" t="s">
        <v>76</v>
      </c>
    </row>
  </sheetData>
  <hyperlinks>
    <hyperlink ref="B4" location="'اطلاعات پایه'!A1" display="'اطلاعات پایه" xr:uid="{0F85EC31-E363-4173-9D74-456252335860}"/>
    <hyperlink ref="B5" location="'خلاصه قرارداد'!A1" display="'خلاصه قرارداد" xr:uid="{A3365D64-D69C-43FC-B94F-FD727C4EE2E9}"/>
    <hyperlink ref="D4" location="فروردین!A1" display="فروردین" xr:uid="{F8941829-9597-4651-9469-3E8AB5AA8837}"/>
    <hyperlink ref="D5" location="اردیبهشت!A1" display="اردیبهشت" xr:uid="{92D81545-4B1A-4A48-8763-14DEDCE1665A}"/>
    <hyperlink ref="D6" location="خرداد!A1" display="خرداد" xr:uid="{B2348EE9-5C6F-4A1A-8D32-1E6A21FCC537}"/>
    <hyperlink ref="D7" location="تیر!A1" display="تیر" xr:uid="{25331713-2286-41A1-8E04-CDA3A4A1A5AD}"/>
    <hyperlink ref="D8" location="مرداد!A1" display="مرداد" xr:uid="{5DA4A294-4354-4B96-95B6-7760E3835AC9}"/>
    <hyperlink ref="D9" location="شهریور!A1" display="شهریور" xr:uid="{36E7AF20-E093-4E0F-8367-48C66E61E760}"/>
    <hyperlink ref="D10" location="مهر!A1" display="مهر" xr:uid="{D7493A43-0263-4E7D-BA4C-07D4407BFAB7}"/>
    <hyperlink ref="D11" location="آبان!A1" display="آبان" xr:uid="{C191594D-BFC1-49FB-B9F4-5A3AA5BDF92E}"/>
    <hyperlink ref="D12" location="آذر!A1" display="آذر" xr:uid="{40159C30-AE47-4953-8DB3-BB5480599956}"/>
    <hyperlink ref="D13" location="دی!A1" display="دی" xr:uid="{AFB0F9F5-0263-4379-832C-E9D03C401E63}"/>
    <hyperlink ref="D14" location="بهمن!A1" display="بهمن" xr:uid="{40F31C4B-F79B-4562-8EC9-3F2DEAEB30B4}"/>
    <hyperlink ref="D15" location="اسفند!A1" display="اسفند" xr:uid="{204FC0D2-1703-4C79-BACB-535248A575CC}"/>
    <hyperlink ref="B6" location="'فیش حقوقی'!A1" display="'فیش حقوقی" xr:uid="{59836526-1647-4289-895F-BC6CAA44FEDB}"/>
    <hyperlink ref="B7" location="عیدی!A1" display="عیدی" xr:uid="{91F3FE92-D4EF-4FB8-85D3-2A538BB67774}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A1B1B-6D7D-4511-86A4-057E0FFECE4E}">
  <dimension ref="A1:K25"/>
  <sheetViews>
    <sheetView rightToLeft="1" tabSelected="1" zoomScale="170" zoomScaleNormal="170" workbookViewId="0">
      <selection activeCell="J12" sqref="J12"/>
    </sheetView>
  </sheetViews>
  <sheetFormatPr defaultColWidth="9.140625" defaultRowHeight="18" x14ac:dyDescent="0.45"/>
  <cols>
    <col min="1" max="1" width="25" style="2" bestFit="1" customWidth="1"/>
    <col min="2" max="2" width="13.140625" style="2" bestFit="1" customWidth="1"/>
    <col min="3" max="4" width="9.140625" style="2"/>
    <col min="5" max="6" width="14.140625" style="2" bestFit="1" customWidth="1"/>
    <col min="7" max="7" width="13" style="2" customWidth="1"/>
    <col min="8" max="8" width="13.5703125" style="2" customWidth="1"/>
    <col min="9" max="9" width="4" style="2" bestFit="1" customWidth="1"/>
    <col min="10" max="11" width="12.5703125" style="2" bestFit="1" customWidth="1"/>
    <col min="12" max="16384" width="9.140625" style="2"/>
  </cols>
  <sheetData>
    <row r="1" spans="1:11" x14ac:dyDescent="0.45">
      <c r="A1" s="2" t="s">
        <v>142</v>
      </c>
      <c r="B1" s="6">
        <v>5541850</v>
      </c>
    </row>
    <row r="2" spans="1:11" ht="19.5" x14ac:dyDescent="0.5">
      <c r="A2" s="2" t="s">
        <v>53</v>
      </c>
      <c r="B2" s="6">
        <v>3</v>
      </c>
      <c r="E2" s="147" t="s">
        <v>35</v>
      </c>
      <c r="F2" s="147"/>
      <c r="G2" s="147"/>
      <c r="H2" s="147"/>
      <c r="I2" s="147"/>
      <c r="J2" s="147"/>
    </row>
    <row r="3" spans="1:11" x14ac:dyDescent="0.45">
      <c r="A3" s="2" t="s">
        <v>54</v>
      </c>
      <c r="B3" s="6">
        <f>B1*B2</f>
        <v>16625550</v>
      </c>
      <c r="E3" s="4" t="s">
        <v>36</v>
      </c>
      <c r="F3" s="4" t="s">
        <v>37</v>
      </c>
      <c r="G3" s="4" t="s">
        <v>62</v>
      </c>
      <c r="H3" s="4" t="s">
        <v>63</v>
      </c>
      <c r="I3" s="4" t="s">
        <v>38</v>
      </c>
      <c r="J3" s="4" t="s">
        <v>39</v>
      </c>
      <c r="K3" s="4" t="s">
        <v>40</v>
      </c>
    </row>
    <row r="4" spans="1:11" x14ac:dyDescent="0.45">
      <c r="A4" s="2" t="s">
        <v>55</v>
      </c>
      <c r="B4" s="6">
        <v>7</v>
      </c>
      <c r="E4" s="7">
        <v>0</v>
      </c>
      <c r="F4" s="7">
        <v>400000000</v>
      </c>
      <c r="G4" s="7"/>
      <c r="H4" s="7"/>
      <c r="I4" s="72">
        <v>0</v>
      </c>
      <c r="J4" s="73">
        <f>(F4-E4)*I4</f>
        <v>0</v>
      </c>
      <c r="K4" s="73">
        <f>J4</f>
        <v>0</v>
      </c>
    </row>
    <row r="5" spans="1:11" x14ac:dyDescent="0.45">
      <c r="A5" s="2" t="s">
        <v>56</v>
      </c>
      <c r="B5" s="6">
        <f>B1*B4</f>
        <v>38792950</v>
      </c>
      <c r="E5" s="7">
        <f>F4</f>
        <v>400000000</v>
      </c>
      <c r="F5" s="7">
        <v>800000000</v>
      </c>
      <c r="G5" s="7">
        <f>F5-E5</f>
        <v>400000000</v>
      </c>
      <c r="H5" s="7">
        <f>G5</f>
        <v>400000000</v>
      </c>
      <c r="I5" s="72">
        <v>0.1</v>
      </c>
      <c r="J5" s="73">
        <f t="shared" ref="J5:J9" si="0">(F5-E5)*I5</f>
        <v>40000000</v>
      </c>
      <c r="K5" s="73">
        <f>K4+J5</f>
        <v>40000000</v>
      </c>
    </row>
    <row r="6" spans="1:11" x14ac:dyDescent="0.45">
      <c r="A6" s="2" t="s">
        <v>57</v>
      </c>
      <c r="B6" s="6">
        <f>F4</f>
        <v>400000000</v>
      </c>
      <c r="E6" s="7">
        <f t="shared" ref="E6:E8" si="1">F5</f>
        <v>800000000</v>
      </c>
      <c r="F6" s="7">
        <v>1000000000</v>
      </c>
      <c r="G6" s="7">
        <f t="shared" ref="G6:G9" si="2">F6-E6</f>
        <v>200000000</v>
      </c>
      <c r="H6" s="7">
        <f>G6+H5</f>
        <v>600000000</v>
      </c>
      <c r="I6" s="72">
        <v>0.15</v>
      </c>
      <c r="J6" s="73">
        <f t="shared" si="0"/>
        <v>30000000</v>
      </c>
      <c r="K6" s="73">
        <f t="shared" ref="K6:K9" si="3">K5+J6</f>
        <v>70000000</v>
      </c>
    </row>
    <row r="7" spans="1:11" x14ac:dyDescent="0.45">
      <c r="E7" s="7">
        <f t="shared" si="1"/>
        <v>1000000000</v>
      </c>
      <c r="F7" s="7">
        <v>1200000000</v>
      </c>
      <c r="G7" s="7">
        <f t="shared" si="2"/>
        <v>200000000</v>
      </c>
      <c r="H7" s="7">
        <f t="shared" ref="H7:H8" si="4">G7+H6</f>
        <v>800000000</v>
      </c>
      <c r="I7" s="72">
        <v>0.2</v>
      </c>
      <c r="J7" s="73">
        <f t="shared" si="0"/>
        <v>40000000</v>
      </c>
      <c r="K7" s="73">
        <f t="shared" si="3"/>
        <v>110000000</v>
      </c>
    </row>
    <row r="8" spans="1:11" x14ac:dyDescent="0.45">
      <c r="E8" s="7">
        <f t="shared" si="1"/>
        <v>1200000000</v>
      </c>
      <c r="F8" s="7">
        <v>1400000000</v>
      </c>
      <c r="G8" s="7">
        <f t="shared" si="2"/>
        <v>200000000</v>
      </c>
      <c r="H8" s="7">
        <f t="shared" si="4"/>
        <v>1000000000</v>
      </c>
      <c r="I8" s="72">
        <v>0.25</v>
      </c>
      <c r="J8" s="73">
        <f t="shared" si="0"/>
        <v>50000000</v>
      </c>
      <c r="K8" s="73">
        <f t="shared" si="3"/>
        <v>160000000</v>
      </c>
    </row>
    <row r="9" spans="1:11" x14ac:dyDescent="0.45">
      <c r="A9" s="2" t="s">
        <v>85</v>
      </c>
      <c r="E9" s="7">
        <f>F8</f>
        <v>1400000000</v>
      </c>
      <c r="F9" s="7">
        <v>1500000000</v>
      </c>
      <c r="G9" s="7">
        <f t="shared" si="2"/>
        <v>100000000</v>
      </c>
      <c r="H9" s="7"/>
      <c r="I9" s="72">
        <v>0.3</v>
      </c>
      <c r="J9" s="73">
        <f t="shared" si="0"/>
        <v>30000000</v>
      </c>
      <c r="K9" s="73">
        <f t="shared" si="3"/>
        <v>190000000</v>
      </c>
    </row>
    <row r="10" spans="1:11" x14ac:dyDescent="0.45">
      <c r="A10" s="2" t="s">
        <v>86</v>
      </c>
      <c r="E10" s="9"/>
      <c r="F10" s="10"/>
      <c r="G10" s="10"/>
      <c r="H10" s="10"/>
      <c r="I10" s="11"/>
      <c r="J10" s="9"/>
    </row>
    <row r="12" spans="1:11" x14ac:dyDescent="0.45">
      <c r="H12" s="145">
        <f>F9</f>
        <v>1500000000</v>
      </c>
      <c r="J12" s="6">
        <f>IF(H12&lt;=F4,0,IF(H12&lt;=F5,(H12-E5)*I5,IF(H12&lt;=F6,(H12-E6)*I6+K5,IF(H12&lt;=F7,(H12-E7)*I7+K6,IF(H12&lt;=F8,(H12-E8)*I8+K7,IF(H12&gt;E9,(H12-E9)*I9+K8,"check"))))))</f>
        <v>190000000</v>
      </c>
    </row>
    <row r="13" spans="1:11" ht="36" x14ac:dyDescent="0.45">
      <c r="A13" s="4" t="s">
        <v>65</v>
      </c>
      <c r="D13" s="4"/>
      <c r="E13" s="3" t="s">
        <v>78</v>
      </c>
      <c r="F13" s="3" t="s">
        <v>58</v>
      </c>
      <c r="G13" s="3" t="s">
        <v>79</v>
      </c>
    </row>
    <row r="14" spans="1:11" ht="36" x14ac:dyDescent="0.45">
      <c r="A14" s="4" t="s">
        <v>64</v>
      </c>
      <c r="D14" s="12" t="s">
        <v>77</v>
      </c>
      <c r="E14" s="4">
        <v>1</v>
      </c>
      <c r="F14" s="4">
        <v>1</v>
      </c>
      <c r="G14" s="4">
        <v>0</v>
      </c>
    </row>
    <row r="15" spans="1:11" x14ac:dyDescent="0.45">
      <c r="A15" s="4" t="s">
        <v>66</v>
      </c>
      <c r="D15" s="18" t="s">
        <v>6</v>
      </c>
      <c r="E15" s="4">
        <v>1</v>
      </c>
      <c r="F15" s="4">
        <v>1</v>
      </c>
      <c r="G15" s="4">
        <v>0</v>
      </c>
    </row>
    <row r="16" spans="1:11" x14ac:dyDescent="0.45">
      <c r="A16" s="4" t="s">
        <v>67</v>
      </c>
      <c r="D16" s="18" t="s">
        <v>7</v>
      </c>
      <c r="E16" s="4">
        <v>1</v>
      </c>
      <c r="F16" s="4">
        <v>1</v>
      </c>
      <c r="G16" s="4">
        <v>0</v>
      </c>
    </row>
    <row r="17" spans="1:7" x14ac:dyDescent="0.45">
      <c r="A17" s="4" t="s">
        <v>68</v>
      </c>
      <c r="D17" s="18" t="s">
        <v>23</v>
      </c>
      <c r="E17" s="4">
        <v>0</v>
      </c>
      <c r="F17" s="4">
        <v>1</v>
      </c>
      <c r="G17" s="4">
        <v>0</v>
      </c>
    </row>
    <row r="18" spans="1:7" x14ac:dyDescent="0.45">
      <c r="A18" s="4" t="s">
        <v>69</v>
      </c>
      <c r="D18" s="18" t="s">
        <v>10</v>
      </c>
      <c r="E18" s="4">
        <v>1</v>
      </c>
      <c r="F18" s="4">
        <v>1</v>
      </c>
      <c r="G18" s="4">
        <v>0</v>
      </c>
    </row>
    <row r="19" spans="1:7" ht="36" x14ac:dyDescent="0.45">
      <c r="A19" s="4" t="s">
        <v>70</v>
      </c>
      <c r="D19" s="19" t="s">
        <v>17</v>
      </c>
      <c r="E19" s="4">
        <v>1</v>
      </c>
      <c r="F19" s="4">
        <v>1</v>
      </c>
      <c r="G19" s="4">
        <v>0</v>
      </c>
    </row>
    <row r="20" spans="1:7" x14ac:dyDescent="0.45">
      <c r="A20" s="4" t="s">
        <v>71</v>
      </c>
      <c r="D20" s="19" t="s">
        <v>18</v>
      </c>
      <c r="E20" s="4">
        <v>1</v>
      </c>
      <c r="F20" s="4">
        <v>1</v>
      </c>
      <c r="G20" s="4">
        <v>0</v>
      </c>
    </row>
    <row r="21" spans="1:7" ht="36" x14ac:dyDescent="0.45">
      <c r="A21" s="4" t="s">
        <v>72</v>
      </c>
      <c r="D21" s="18" t="s">
        <v>25</v>
      </c>
      <c r="E21" s="4">
        <v>0</v>
      </c>
      <c r="F21" s="4">
        <v>0</v>
      </c>
      <c r="G21" s="4">
        <v>0</v>
      </c>
    </row>
    <row r="22" spans="1:7" ht="36" x14ac:dyDescent="0.45">
      <c r="A22" s="4" t="s">
        <v>73</v>
      </c>
      <c r="D22" s="18" t="s">
        <v>27</v>
      </c>
      <c r="E22" s="4">
        <v>1</v>
      </c>
      <c r="F22" s="4">
        <v>1</v>
      </c>
      <c r="G22" s="4">
        <v>0</v>
      </c>
    </row>
    <row r="23" spans="1:7" x14ac:dyDescent="0.45">
      <c r="A23" s="4" t="s">
        <v>74</v>
      </c>
    </row>
    <row r="24" spans="1:7" x14ac:dyDescent="0.45">
      <c r="A24" s="4" t="s">
        <v>75</v>
      </c>
    </row>
    <row r="25" spans="1:7" x14ac:dyDescent="0.45">
      <c r="A25" s="4" t="s">
        <v>76</v>
      </c>
    </row>
  </sheetData>
  <mergeCells count="1">
    <mergeCell ref="E2:J2"/>
  </mergeCells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206E8-0297-4B90-8757-17F66FAB54AB}">
  <dimension ref="A1:P14"/>
  <sheetViews>
    <sheetView rightToLeft="1" zoomScale="130" zoomScaleNormal="130" workbookViewId="0">
      <selection activeCell="D9" sqref="D9"/>
    </sheetView>
  </sheetViews>
  <sheetFormatPr defaultColWidth="9" defaultRowHeight="18" x14ac:dyDescent="0.45"/>
  <cols>
    <col min="1" max="1" width="9" style="2"/>
    <col min="2" max="2" width="15" style="2" customWidth="1"/>
    <col min="3" max="3" width="14.7109375" style="2" customWidth="1"/>
    <col min="4" max="4" width="13.85546875" style="2" bestFit="1" customWidth="1"/>
    <col min="5" max="5" width="19.140625" style="2" customWidth="1"/>
    <col min="6" max="6" width="10.7109375" style="2" customWidth="1"/>
    <col min="7" max="7" width="10.7109375" style="2" hidden="1" customWidth="1"/>
    <col min="8" max="8" width="23.28515625" style="2" customWidth="1"/>
    <col min="9" max="9" width="16.140625" style="2" customWidth="1"/>
    <col min="10" max="10" width="12.28515625" style="2" customWidth="1"/>
    <col min="11" max="11" width="10.140625" style="2" customWidth="1"/>
    <col min="12" max="12" width="11.5703125" style="2" bestFit="1" customWidth="1"/>
    <col min="13" max="13" width="11.5703125" style="2" customWidth="1"/>
    <col min="14" max="14" width="14.28515625" style="2" customWidth="1"/>
    <col min="15" max="15" width="14.7109375" style="2" customWidth="1"/>
    <col min="16" max="16" width="12.28515625" style="2" customWidth="1"/>
    <col min="17" max="16384" width="9" style="2"/>
  </cols>
  <sheetData>
    <row r="1" spans="1:16" ht="19.5" x14ac:dyDescent="0.5">
      <c r="A1" s="1" t="s">
        <v>13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6" ht="19.5" x14ac:dyDescent="0.5">
      <c r="A2" s="1"/>
      <c r="B2" s="1" t="s">
        <v>97</v>
      </c>
      <c r="C2" s="1"/>
      <c r="D2" s="1"/>
      <c r="E2" s="1"/>
      <c r="F2" s="1"/>
      <c r="G2" s="1"/>
      <c r="H2" s="1"/>
      <c r="I2" s="1"/>
      <c r="J2" s="1"/>
      <c r="K2" s="1" t="s">
        <v>0</v>
      </c>
      <c r="L2" s="1"/>
      <c r="M2" s="1"/>
      <c r="N2" s="1"/>
    </row>
    <row r="3" spans="1:16" ht="19.5" x14ac:dyDescent="0.5">
      <c r="A3" s="1"/>
      <c r="B3" s="1" t="s">
        <v>1</v>
      </c>
      <c r="C3" s="1"/>
      <c r="D3" s="1"/>
      <c r="E3" s="1"/>
      <c r="F3" s="1"/>
      <c r="G3" s="1"/>
      <c r="H3" s="1"/>
      <c r="I3" s="1"/>
      <c r="J3" s="1"/>
      <c r="K3" s="1" t="s">
        <v>143</v>
      </c>
      <c r="L3" s="1"/>
      <c r="M3" s="1"/>
      <c r="N3" s="1"/>
    </row>
    <row r="4" spans="1:16" ht="19.5" x14ac:dyDescent="0.5">
      <c r="A4" s="1"/>
      <c r="B4" s="1" t="s">
        <v>144</v>
      </c>
      <c r="C4" s="1"/>
      <c r="D4" s="1"/>
      <c r="E4" s="1"/>
      <c r="F4" s="1"/>
      <c r="G4" s="1"/>
      <c r="H4" s="1"/>
      <c r="I4" s="1"/>
      <c r="J4" s="1"/>
      <c r="K4" s="1" t="s">
        <v>52</v>
      </c>
      <c r="L4" s="1"/>
      <c r="M4" s="1"/>
      <c r="N4" s="1"/>
    </row>
    <row r="5" spans="1:16" ht="36" x14ac:dyDescent="0.45">
      <c r="A5" s="12" t="s">
        <v>2</v>
      </c>
      <c r="B5" s="12" t="s">
        <v>3</v>
      </c>
      <c r="C5" s="12" t="s">
        <v>4</v>
      </c>
      <c r="D5" s="12" t="s">
        <v>77</v>
      </c>
      <c r="E5" s="12" t="s">
        <v>6</v>
      </c>
      <c r="F5" s="12" t="s">
        <v>7</v>
      </c>
      <c r="G5" s="12"/>
      <c r="H5" s="12" t="s">
        <v>8</v>
      </c>
      <c r="I5" s="12" t="s">
        <v>14</v>
      </c>
      <c r="J5" s="12" t="s">
        <v>15</v>
      </c>
      <c r="K5" s="12" t="s">
        <v>9</v>
      </c>
      <c r="L5" s="12" t="s">
        <v>23</v>
      </c>
      <c r="M5" s="12" t="s">
        <v>84</v>
      </c>
      <c r="N5" s="12" t="s">
        <v>10</v>
      </c>
      <c r="O5" s="12" t="s">
        <v>17</v>
      </c>
      <c r="P5" s="12" t="s">
        <v>18</v>
      </c>
    </row>
    <row r="6" spans="1:16" x14ac:dyDescent="0.45">
      <c r="A6" s="7">
        <v>1001</v>
      </c>
      <c r="B6" s="7" t="s">
        <v>133</v>
      </c>
      <c r="C6" s="7" t="s">
        <v>138</v>
      </c>
      <c r="D6" s="14">
        <v>103909680</v>
      </c>
      <c r="E6" s="7">
        <v>58602374.516129032</v>
      </c>
      <c r="F6" s="7">
        <f>186401*30</f>
        <v>5592030</v>
      </c>
      <c r="G6" s="7"/>
      <c r="H6" s="7">
        <f>D6+E6+F6+G6</f>
        <v>168104084.51612902</v>
      </c>
      <c r="I6" s="7">
        <f>H6/220*1.4</f>
        <v>1069753.2651026391</v>
      </c>
      <c r="J6" s="7">
        <f>H6/30</f>
        <v>5603469.4838709673</v>
      </c>
      <c r="K6" s="8">
        <v>3</v>
      </c>
      <c r="L6" s="8">
        <f>olad*K6</f>
        <v>49876650</v>
      </c>
      <c r="M6" s="8" t="s">
        <v>85</v>
      </c>
      <c r="N6" s="8">
        <f>IF(M6="متاهل",5000000,0)</f>
        <v>5000000</v>
      </c>
      <c r="O6" s="7">
        <v>22000000</v>
      </c>
      <c r="P6" s="13">
        <v>30000000</v>
      </c>
    </row>
    <row r="7" spans="1:16" x14ac:dyDescent="0.45">
      <c r="A7" s="7">
        <v>1002</v>
      </c>
      <c r="B7" s="7" t="s">
        <v>134</v>
      </c>
      <c r="C7" s="7" t="s">
        <v>139</v>
      </c>
      <c r="D7" s="14">
        <v>207316050</v>
      </c>
      <c r="E7" s="7">
        <v>246478356.77419356</v>
      </c>
      <c r="F7" s="7">
        <f>30*92400</f>
        <v>2772000</v>
      </c>
      <c r="G7" s="7"/>
      <c r="H7" s="7">
        <f>D7+E7+F7+G7</f>
        <v>456566406.77419353</v>
      </c>
      <c r="I7" s="7">
        <f t="shared" ref="I7:I10" si="0">H7/220*1.4</f>
        <v>2905422.5885630497</v>
      </c>
      <c r="J7" s="7">
        <f t="shared" ref="J7:J10" si="1">H7/30</f>
        <v>15218880.22580645</v>
      </c>
      <c r="K7" s="8">
        <v>0</v>
      </c>
      <c r="L7" s="8">
        <f>olad*K7</f>
        <v>0</v>
      </c>
      <c r="M7" s="8" t="s">
        <v>86</v>
      </c>
      <c r="N7" s="8">
        <f t="shared" ref="N7:N10" si="2">IF(M7="متاهل",5000000,0)</f>
        <v>0</v>
      </c>
      <c r="O7" s="7">
        <v>22000000</v>
      </c>
      <c r="P7" s="13">
        <v>30000000</v>
      </c>
    </row>
    <row r="8" spans="1:16" x14ac:dyDescent="0.45">
      <c r="A8" s="7">
        <v>1003</v>
      </c>
      <c r="B8" s="7" t="s">
        <v>135</v>
      </c>
      <c r="C8" s="7" t="s">
        <v>140</v>
      </c>
      <c r="D8" s="14">
        <v>605316050</v>
      </c>
      <c r="E8" s="7">
        <v>399326969.03225803</v>
      </c>
      <c r="F8" s="7">
        <f>30*94000</f>
        <v>2820000</v>
      </c>
      <c r="G8" s="7"/>
      <c r="H8" s="7">
        <f>D8+E8+F8+G8</f>
        <v>1007463019.032258</v>
      </c>
      <c r="I8" s="7">
        <f t="shared" si="0"/>
        <v>6411128.3029325511</v>
      </c>
      <c r="J8" s="7">
        <f t="shared" si="1"/>
        <v>33582100.634408601</v>
      </c>
      <c r="K8" s="8">
        <v>0</v>
      </c>
      <c r="L8" s="8">
        <f>olad*K8</f>
        <v>0</v>
      </c>
      <c r="M8" s="8" t="s">
        <v>85</v>
      </c>
      <c r="N8" s="8">
        <f t="shared" si="2"/>
        <v>5000000</v>
      </c>
      <c r="O8" s="7">
        <v>22000000</v>
      </c>
      <c r="P8" s="13">
        <v>30000000</v>
      </c>
    </row>
    <row r="9" spans="1:16" x14ac:dyDescent="0.45">
      <c r="A9" s="7">
        <v>1004</v>
      </c>
      <c r="B9" s="7" t="s">
        <v>136</v>
      </c>
      <c r="C9" s="7" t="s">
        <v>141</v>
      </c>
      <c r="D9" s="14">
        <v>500000000</v>
      </c>
      <c r="E9" s="7">
        <v>399326969.03225803</v>
      </c>
      <c r="F9" s="7">
        <f>F8</f>
        <v>2820000</v>
      </c>
      <c r="G9" s="7"/>
      <c r="H9" s="7">
        <f>D9+E9+F9+G9</f>
        <v>902146969.03225803</v>
      </c>
      <c r="I9" s="7">
        <f t="shared" si="0"/>
        <v>5740935.2574780053</v>
      </c>
      <c r="J9" s="7">
        <f t="shared" si="1"/>
        <v>30071565.634408601</v>
      </c>
      <c r="K9" s="8">
        <v>2</v>
      </c>
      <c r="L9" s="8">
        <f>olad*K9</f>
        <v>33251100</v>
      </c>
      <c r="M9" s="8" t="s">
        <v>86</v>
      </c>
      <c r="N9" s="8">
        <f t="shared" si="2"/>
        <v>0</v>
      </c>
      <c r="O9" s="7">
        <v>22000000</v>
      </c>
      <c r="P9" s="13">
        <v>30000000</v>
      </c>
    </row>
    <row r="10" spans="1:16" x14ac:dyDescent="0.45">
      <c r="A10" s="7">
        <v>1005</v>
      </c>
      <c r="B10" s="7" t="s">
        <v>137</v>
      </c>
      <c r="C10" s="7" t="s">
        <v>99</v>
      </c>
      <c r="D10" s="14">
        <v>286516050</v>
      </c>
      <c r="E10" s="7">
        <v>264129111.29032257</v>
      </c>
      <c r="F10" s="7"/>
      <c r="G10" s="7"/>
      <c r="H10" s="7">
        <f>D10+E10+F10+G10</f>
        <v>550645161.29032254</v>
      </c>
      <c r="I10" s="7">
        <f t="shared" si="0"/>
        <v>3504105.5718475073</v>
      </c>
      <c r="J10" s="7">
        <f t="shared" si="1"/>
        <v>18354838.709677417</v>
      </c>
      <c r="K10" s="8">
        <v>0</v>
      </c>
      <c r="L10" s="8">
        <f>olad*K10</f>
        <v>0</v>
      </c>
      <c r="M10" s="8" t="s">
        <v>86</v>
      </c>
      <c r="N10" s="8">
        <f t="shared" si="2"/>
        <v>0</v>
      </c>
      <c r="O10" s="7">
        <v>22000000</v>
      </c>
      <c r="P10" s="13">
        <v>30000000</v>
      </c>
    </row>
    <row r="13" spans="1:16" x14ac:dyDescent="0.45">
      <c r="D13" s="6"/>
    </row>
    <row r="14" spans="1:16" x14ac:dyDescent="0.45">
      <c r="D14" s="145"/>
    </row>
  </sheetData>
  <pageMargins left="0.2" right="0.38" top="0.26" bottom="0.75" header="0.2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خطا" error="لطفا از لیست انتخاب شود" xr:uid="{D6C1C25A-F262-46BA-AD7D-ED296187B063}">
          <x14:formula1>
            <xm:f>'اطلاعات پایه'!$A$9:$A$10</xm:f>
          </x14:formula1>
          <xm:sqref>M6:M10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B7C64-7327-4388-887B-EE4464A42BC9}">
  <dimension ref="A1:AB31"/>
  <sheetViews>
    <sheetView rightToLeft="1" zoomScale="130" zoomScaleNormal="130" workbookViewId="0">
      <pane xSplit="2" ySplit="5" topLeftCell="M6" activePane="bottomRight" state="frozen"/>
      <selection pane="topRight" activeCell="C1" sqref="C1"/>
      <selection pane="bottomLeft" activeCell="A6" sqref="A6"/>
      <selection pane="bottomRight" activeCell="V6" sqref="V6"/>
    </sheetView>
  </sheetViews>
  <sheetFormatPr defaultColWidth="9" defaultRowHeight="18" x14ac:dyDescent="0.45"/>
  <cols>
    <col min="1" max="1" width="9" style="16"/>
    <col min="2" max="2" width="20.28515625" style="16" customWidth="1"/>
    <col min="3" max="3" width="9" style="16"/>
    <col min="4" max="4" width="14.140625" style="16" bestFit="1" customWidth="1"/>
    <col min="5" max="5" width="15.28515625" style="16" customWidth="1"/>
    <col min="6" max="6" width="12.42578125" style="16" customWidth="1"/>
    <col min="7" max="7" width="14.5703125" style="16" customWidth="1"/>
    <col min="8" max="8" width="13.140625" style="16" customWidth="1"/>
    <col min="9" max="9" width="10.7109375" style="16" customWidth="1"/>
    <col min="10" max="10" width="12.7109375" style="16" customWidth="1"/>
    <col min="11" max="11" width="12.5703125" style="16" customWidth="1"/>
    <col min="12" max="13" width="14.85546875" style="16" customWidth="1"/>
    <col min="14" max="14" width="12.42578125" style="16" customWidth="1"/>
    <col min="15" max="15" width="13.42578125" style="16" customWidth="1"/>
    <col min="16" max="16" width="9" style="16"/>
    <col min="17" max="17" width="14.28515625" style="16" customWidth="1"/>
    <col min="18" max="18" width="14.140625" style="16" bestFit="1" customWidth="1"/>
    <col min="19" max="19" width="17.28515625" style="16" customWidth="1"/>
    <col min="20" max="20" width="14" style="16" bestFit="1" customWidth="1"/>
    <col min="21" max="21" width="15.42578125" style="16" customWidth="1"/>
    <col min="22" max="22" width="13.28515625" style="16" customWidth="1"/>
    <col min="23" max="23" width="14.5703125" style="16" bestFit="1" customWidth="1"/>
    <col min="24" max="24" width="14.42578125" style="16" customWidth="1"/>
    <col min="25" max="27" width="15.28515625" style="16" customWidth="1"/>
    <col min="28" max="28" width="13.7109375" style="16" bestFit="1" customWidth="1"/>
    <col min="29" max="29" width="14.140625" style="16" bestFit="1" customWidth="1"/>
    <col min="30" max="16384" width="9" style="16"/>
  </cols>
  <sheetData>
    <row r="1" spans="1:28" ht="19.5" x14ac:dyDescent="0.5">
      <c r="A1" s="15" t="str">
        <f>'خلاصه قرارداد'!A1</f>
        <v>واحد حسابداری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28" ht="19.5" x14ac:dyDescent="0.5">
      <c r="A2" s="15"/>
      <c r="B2" s="15" t="str">
        <f>'خلاصه قرارداد'!B2</f>
        <v>نام شرکت (.......)</v>
      </c>
      <c r="C2" s="15"/>
      <c r="D2" s="15" t="s">
        <v>16</v>
      </c>
      <c r="E2" s="15" t="s">
        <v>64</v>
      </c>
      <c r="F2" s="15"/>
      <c r="G2" s="15"/>
      <c r="H2" s="15"/>
      <c r="I2" s="15" t="s">
        <v>0</v>
      </c>
      <c r="J2" s="15"/>
      <c r="K2" s="15"/>
      <c r="L2" s="15"/>
      <c r="M2" s="15"/>
    </row>
    <row r="3" spans="1:28" ht="19.5" x14ac:dyDescent="0.5">
      <c r="A3" s="15"/>
      <c r="B3" s="15" t="s">
        <v>51</v>
      </c>
      <c r="C3" s="15"/>
      <c r="D3" s="15"/>
      <c r="E3" s="15"/>
      <c r="F3" s="15"/>
      <c r="G3" s="15"/>
      <c r="H3" s="15"/>
      <c r="I3" s="15" t="str">
        <f>'خلاصه قرارداد'!K3</f>
        <v>تاریخ تهیه : 1405/01/31</v>
      </c>
      <c r="J3" s="15"/>
      <c r="K3" s="15"/>
      <c r="L3" s="15"/>
      <c r="M3" s="15"/>
    </row>
    <row r="4" spans="1:28" ht="19.5" x14ac:dyDescent="0.5">
      <c r="A4" s="15"/>
      <c r="B4" s="15" t="str">
        <f>'خلاصه قرارداد'!B4</f>
        <v>سال 1405</v>
      </c>
      <c r="C4" s="15"/>
      <c r="D4" s="15"/>
      <c r="E4" s="15"/>
      <c r="F4" s="15"/>
      <c r="G4" s="15"/>
      <c r="H4" s="15"/>
      <c r="I4" s="15" t="str">
        <f>'خلاصه قرارداد'!K4</f>
        <v>بررسی کننده :</v>
      </c>
      <c r="J4" s="15"/>
      <c r="K4" s="15"/>
      <c r="L4" s="15"/>
      <c r="M4" s="15"/>
    </row>
    <row r="5" spans="1:28" ht="36" x14ac:dyDescent="0.45">
      <c r="A5" s="17" t="s">
        <v>2</v>
      </c>
      <c r="B5" s="17" t="s">
        <v>3</v>
      </c>
      <c r="C5" s="17" t="s">
        <v>20</v>
      </c>
      <c r="D5" s="12" t="s">
        <v>77</v>
      </c>
      <c r="E5" s="18" t="s">
        <v>6</v>
      </c>
      <c r="F5" s="18" t="s">
        <v>7</v>
      </c>
      <c r="G5" s="18" t="s">
        <v>21</v>
      </c>
      <c r="H5" s="18" t="s">
        <v>22</v>
      </c>
      <c r="I5" s="18" t="s">
        <v>9</v>
      </c>
      <c r="J5" s="18" t="s">
        <v>23</v>
      </c>
      <c r="K5" s="18" t="s">
        <v>10</v>
      </c>
      <c r="L5" s="19" t="s">
        <v>17</v>
      </c>
      <c r="M5" s="19" t="s">
        <v>18</v>
      </c>
      <c r="N5" s="18" t="s">
        <v>24</v>
      </c>
      <c r="O5" s="18" t="s">
        <v>25</v>
      </c>
      <c r="P5" s="18" t="s">
        <v>26</v>
      </c>
      <c r="Q5" s="18" t="s">
        <v>27</v>
      </c>
      <c r="R5" s="18" t="s">
        <v>28</v>
      </c>
      <c r="S5" s="18" t="s">
        <v>29</v>
      </c>
      <c r="T5" s="18" t="s">
        <v>30</v>
      </c>
      <c r="U5" s="18" t="s">
        <v>58</v>
      </c>
      <c r="V5" s="18" t="s">
        <v>31</v>
      </c>
      <c r="W5" s="18">
        <v>0</v>
      </c>
      <c r="X5" s="18" t="s">
        <v>32</v>
      </c>
      <c r="Y5" s="18" t="s">
        <v>33</v>
      </c>
      <c r="Z5" s="18" t="s">
        <v>60</v>
      </c>
      <c r="AA5" s="18" t="s">
        <v>61</v>
      </c>
      <c r="AB5" s="18" t="s">
        <v>34</v>
      </c>
    </row>
    <row r="6" spans="1:28" x14ac:dyDescent="0.45">
      <c r="A6" s="20">
        <v>1001</v>
      </c>
      <c r="B6" s="21" t="str">
        <f>VLOOKUP(A6,'خلاصه قرارداد'!$A$5:$B$10,2,0)</f>
        <v>مهدی مقدسی</v>
      </c>
      <c r="C6" s="21">
        <v>31</v>
      </c>
      <c r="D6" s="55">
        <f>VLOOKUP($A6,'خلاصه قرارداد'!$A$5:$P$10,MATCH(D$5,'خلاصه قرارداد'!$A$5:$P$5,0),0)/30*$C6</f>
        <v>107373336</v>
      </c>
      <c r="E6" s="55">
        <f>VLOOKUP($A6,'خلاصه قرارداد'!$A$5:$P$10,MATCH(E$5,'خلاصه قرارداد'!$A$5:$P$5,0),0)/30*$C6</f>
        <v>60555787</v>
      </c>
      <c r="F6" s="55">
        <f>VLOOKUP($A6,'خلاصه قرارداد'!$A$5:$P$10,MATCH(F$5,'خلاصه قرارداد'!$A$5:$P$5,0),0)/30*$C6</f>
        <v>5778431</v>
      </c>
      <c r="G6" s="56">
        <f>SUM(D6:F6)</f>
        <v>173707554</v>
      </c>
      <c r="H6" s="56">
        <f>ROUNDUP(G6/C6,0)</f>
        <v>5603470</v>
      </c>
      <c r="I6" s="22">
        <f>VLOOKUP(A6,'خلاصه قرارداد'!$A$5:$K$10,11,0)</f>
        <v>3</v>
      </c>
      <c r="J6" s="55">
        <f>IF($C6&gt;=29,VLOOKUP($A6,'خلاصه قرارداد'!$A$5:$P$10,MATCH(J$5,'خلاصه قرارداد'!$A$5:$P$5,0),0),VLOOKUP($A6,'خلاصه قرارداد'!$A$5:$P$10,MATCH(J$5,'خلاصه قرارداد'!$A$5:$P$5,0),0)/30*B6)</f>
        <v>49876650</v>
      </c>
      <c r="K6" s="55">
        <f>IF($C6&gt;=29,VLOOKUP($A6,'خلاصه قرارداد'!$A$5:$P$10,MATCH(K$5,'خلاصه قرارداد'!$A$5:$P$5,0),0),VLOOKUP($A6,'خلاصه قرارداد'!$A$5:$P$10,MATCH(K$5,'خلاصه قرارداد'!$A$5:$P$5,0),0)/30*C6)</f>
        <v>5000000</v>
      </c>
      <c r="L6" s="55">
        <f>IF($C6&gt;=29,VLOOKUP($A6,'خلاصه قرارداد'!$A$5:$P$10,MATCH(L$5,'خلاصه قرارداد'!$A$5:$P$5,0),0),VLOOKUP($A6,'خلاصه قرارداد'!$A$5:$P$10,MATCH(L$5,'خلاصه قرارداد'!$A$5:$P$5,0),0)/30*D6)</f>
        <v>22000000</v>
      </c>
      <c r="M6" s="55">
        <f>IF($C6&gt;=29,VLOOKUP($A6,'خلاصه قرارداد'!$A$5:$P$10,MATCH(M$5,'خلاصه قرارداد'!$A$5:$P$5,0),0),VLOOKUP($A6,'خلاصه قرارداد'!$A$5:$P$10,MATCH(M$5,'خلاصه قرارداد'!$A$5:$P$5,0),0)/30*E6)</f>
        <v>30000000</v>
      </c>
      <c r="N6" s="23">
        <v>5</v>
      </c>
      <c r="O6" s="58">
        <f>H6*N6</f>
        <v>28017350</v>
      </c>
      <c r="P6" s="23">
        <v>11.5</v>
      </c>
      <c r="Q6" s="59">
        <f>'خلاصه قرارداد'!I6*فروردین!P6</f>
        <v>12302162.54868035</v>
      </c>
      <c r="R6" s="59">
        <f>Q6+O6+L6+J6+G6+K6+M6</f>
        <v>320903716.54868037</v>
      </c>
      <c r="S6" s="59">
        <f>IF((R6-O6-J6)&gt;=(maxsso*C6),maxsso*C6,R6-O6-J6)</f>
        <v>243009716.54868037</v>
      </c>
      <c r="T6" s="58">
        <f>S6*7%</f>
        <v>17010680.158407629</v>
      </c>
      <c r="U6" s="59">
        <f>R6-O6-T6</f>
        <v>275875686.39027274</v>
      </c>
      <c r="V6" s="60">
        <f>IF(U6&lt;='اطلاعات پایه'!$G$5,U6*'اطلاعات پایه'!$I$5,IF(U6&lt;='اطلاعات پایه'!$H$6,(U6-'اطلاعات پایه'!$G$5)*'اطلاعات پایه'!$I$6+'اطلاعات پایه'!$K$5,IF(U6&lt;='اطلاعات پایه'!$H$7,(U6-'اطلاعات پایه'!$H$6)*'اطلاعات پایه'!$I$7+'اطلاعات پایه'!$K$6,IF(U6&lt;='اطلاعات پایه'!$H$8,(U6-'اطلاعات پایه'!$H$7)*'اطلاعات پایه'!$I$8+'اطلاعات پایه'!$K$7,IF(U6&gt;'اطلاعات پایه'!$H$8,(U6-'اطلاعات پایه'!$H$8)*'اطلاعات پایه'!$I$9+'اطلاعات پایه'!$K$8,"check")))))</f>
        <v>27587568.639027275</v>
      </c>
      <c r="W6" s="59">
        <v>0</v>
      </c>
      <c r="X6" s="59">
        <f>V6+W6</f>
        <v>27587568.639027275</v>
      </c>
      <c r="Y6" s="59">
        <f>X6+T6</f>
        <v>44598248.797434904</v>
      </c>
      <c r="Z6" s="23"/>
      <c r="AA6" s="23"/>
      <c r="AB6" s="59">
        <f>R6-Y6-Z6-AA6</f>
        <v>276305467.75124544</v>
      </c>
    </row>
    <row r="7" spans="1:28" x14ac:dyDescent="0.45">
      <c r="A7" s="24">
        <v>1002</v>
      </c>
      <c r="B7" s="21" t="str">
        <f>VLOOKUP(A7,'خلاصه قرارداد'!$A$5:$B$10,2,0)</f>
        <v>مریم گودرزی</v>
      </c>
      <c r="C7" s="25">
        <v>31</v>
      </c>
      <c r="D7" s="55">
        <f>VLOOKUP($A7,'خلاصه قرارداد'!$A$5:$P$10,MATCH(D$5,'خلاصه قرارداد'!$A$5:$P$5,0),0)/30*$C7</f>
        <v>214226585</v>
      </c>
      <c r="E7" s="55">
        <f>VLOOKUP($A7,'خلاصه قرارداد'!$A$5:$P$10,MATCH(E$5,'خلاصه قرارداد'!$A$5:$P$5,0),0)/30*$C7</f>
        <v>254694302</v>
      </c>
      <c r="F7" s="55">
        <f>VLOOKUP($A7,'خلاصه قرارداد'!$A$5:$P$10,MATCH(F$5,'خلاصه قرارداد'!$A$5:$P$5,0),0)/30*$C7</f>
        <v>2864400</v>
      </c>
      <c r="G7" s="56">
        <f t="shared" ref="G7:G10" si="0">SUM(D7:F7)</f>
        <v>471785287</v>
      </c>
      <c r="H7" s="56">
        <f t="shared" ref="H7:H10" si="1">ROUNDUP(G7/C7,0)</f>
        <v>15218881</v>
      </c>
      <c r="I7" s="22">
        <f>VLOOKUP(A7,'خلاصه قرارداد'!$A$5:$K$10,11,0)</f>
        <v>0</v>
      </c>
      <c r="J7" s="55">
        <f>IF($C7&gt;=29,VLOOKUP($A7,'خلاصه قرارداد'!$A$5:$P$10,MATCH(J$5,'خلاصه قرارداد'!$A$5:$P$5,0),0),VLOOKUP($A7,'خلاصه قرارداد'!$A$5:$P$10,MATCH(J$5,'خلاصه قرارداد'!$A$5:$P$5,0),0)/30*B7)</f>
        <v>0</v>
      </c>
      <c r="K7" s="55">
        <f>IF($C7&gt;=29,VLOOKUP($A7,'خلاصه قرارداد'!$A$5:$P$10,MATCH(K$5,'خلاصه قرارداد'!$A$5:$P$5,0),0),VLOOKUP($A7,'خلاصه قرارداد'!$A$5:$P$10,MATCH(K$5,'خلاصه قرارداد'!$A$5:$P$5,0),0)/30*C7)</f>
        <v>0</v>
      </c>
      <c r="L7" s="55">
        <f>IF($C7&gt;=29,VLOOKUP($A7,'خلاصه قرارداد'!$A$5:$P$10,MATCH(L$5,'خلاصه قرارداد'!$A$5:$P$5,0),0),VLOOKUP($A7,'خلاصه قرارداد'!$A$5:$P$10,MATCH(L$5,'خلاصه قرارداد'!$A$5:$P$5,0),0)/30*D7)</f>
        <v>22000000</v>
      </c>
      <c r="M7" s="55">
        <f>IF($C7&gt;=29,VLOOKUP($A7,'خلاصه قرارداد'!$A$5:$P$10,MATCH(M$5,'خلاصه قرارداد'!$A$5:$P$5,0),0),VLOOKUP($A7,'خلاصه قرارداد'!$A$5:$P$10,MATCH(M$5,'خلاصه قرارداد'!$A$5:$P$5,0),0)/30*E7)</f>
        <v>30000000</v>
      </c>
      <c r="N7" s="26">
        <v>2</v>
      </c>
      <c r="O7" s="58">
        <f>H7*N7</f>
        <v>30437762</v>
      </c>
      <c r="P7" s="26">
        <v>10</v>
      </c>
      <c r="Q7" s="59">
        <f>'خلاصه قرارداد'!I7*فروردین!P7</f>
        <v>29054225.885630496</v>
      </c>
      <c r="R7" s="59">
        <f t="shared" ref="R7:R10" si="2">Q7+O7+L7+J7+G7+K7+M7</f>
        <v>583277274.88563049</v>
      </c>
      <c r="S7" s="59">
        <f>IF((R7-O7-J7)&gt;=(maxsso*C7),maxsso*C7,R7-O7-J7)</f>
        <v>552839512.88563049</v>
      </c>
      <c r="T7" s="58">
        <f>S7*7%</f>
        <v>38698765.901994139</v>
      </c>
      <c r="U7" s="59">
        <f t="shared" ref="U7:U10" si="3">R7-O7-T7</f>
        <v>514140746.98363638</v>
      </c>
      <c r="V7" s="60">
        <f>IF(U7&lt;='اطلاعات پایه'!$G$5,U7*'اطلاعات پایه'!$I$5,IF(U7&lt;='اطلاعات پایه'!$H$6,(U7-'اطلاعات پایه'!$G$5)*'اطلاعات پایه'!$I$6+'اطلاعات پایه'!$K$5,IF(U7&lt;='اطلاعات پایه'!$H$7,(U7-'اطلاعات پایه'!$H$6)*'اطلاعات پایه'!$I$7+'اطلاعات پایه'!$K$6,IF(U7&lt;='اطلاعات پایه'!$H$8,(U7-'اطلاعات پایه'!$H$7)*'اطلاعات پایه'!$I$8+'اطلاعات پایه'!$K$7,IF(U7&gt;'اطلاعات پایه'!$H$8,(U7-'اطلاعات پایه'!$H$8)*'اطلاعات پایه'!$I$9+'اطلاعات پایه'!$K$8,"check")))))</f>
        <v>57121112.047545455</v>
      </c>
      <c r="W7" s="59">
        <v>0</v>
      </c>
      <c r="X7" s="59">
        <f>V7+W7</f>
        <v>57121112.047545455</v>
      </c>
      <c r="Y7" s="59">
        <f>X7+T7</f>
        <v>95819877.949539602</v>
      </c>
      <c r="Z7" s="23"/>
      <c r="AA7" s="23"/>
      <c r="AB7" s="59">
        <f>R7-Y7-Z7-AA7</f>
        <v>487457396.93609089</v>
      </c>
    </row>
    <row r="8" spans="1:28" x14ac:dyDescent="0.45">
      <c r="A8" s="20">
        <v>1003</v>
      </c>
      <c r="B8" s="21" t="str">
        <f>VLOOKUP(A8,'خلاصه قرارداد'!$A$5:$B$10,2,0)</f>
        <v>اشکان فناییان</v>
      </c>
      <c r="C8" s="25">
        <v>31</v>
      </c>
      <c r="D8" s="55">
        <f>VLOOKUP($A8,'خلاصه قرارداد'!$A$5:$P$10,MATCH(D$5,'خلاصه قرارداد'!$A$5:$P$5,0),0)/30*$C8</f>
        <v>625493251.66666675</v>
      </c>
      <c r="E8" s="55">
        <f>VLOOKUP($A8,'خلاصه قرارداد'!$A$5:$P$10,MATCH(E$5,'خلاصه قرارداد'!$A$5:$P$5,0),0)/30*$C8</f>
        <v>412637868</v>
      </c>
      <c r="F8" s="55">
        <f>VLOOKUP($A8,'خلاصه قرارداد'!$A$5:$P$10,MATCH(F$5,'خلاصه قرارداد'!$A$5:$P$5,0),0)/30*$C8</f>
        <v>2914000</v>
      </c>
      <c r="G8" s="56">
        <f t="shared" si="0"/>
        <v>1041045119.6666667</v>
      </c>
      <c r="H8" s="56">
        <f t="shared" si="1"/>
        <v>33582101</v>
      </c>
      <c r="I8" s="22">
        <f>VLOOKUP(A8,'خلاصه قرارداد'!$A$5:$K$10,11,0)</f>
        <v>0</v>
      </c>
      <c r="J8" s="55">
        <f>IF($C8&gt;=29,VLOOKUP($A8,'خلاصه قرارداد'!$A$5:$P$10,MATCH(J$5,'خلاصه قرارداد'!$A$5:$P$5,0),0),VLOOKUP($A8,'خلاصه قرارداد'!$A$5:$P$10,MATCH(J$5,'خلاصه قرارداد'!$A$5:$P$5,0),0)/30*B8)</f>
        <v>0</v>
      </c>
      <c r="K8" s="55">
        <f>IF($C8&gt;=29,VLOOKUP($A8,'خلاصه قرارداد'!$A$5:$P$10,MATCH(K$5,'خلاصه قرارداد'!$A$5:$P$5,0),0),VLOOKUP($A8,'خلاصه قرارداد'!$A$5:$P$10,MATCH(K$5,'خلاصه قرارداد'!$A$5:$P$5,0),0)/30*C8)</f>
        <v>5000000</v>
      </c>
      <c r="L8" s="55">
        <f>IF($C8&gt;=29,VLOOKUP($A8,'خلاصه قرارداد'!$A$5:$P$10,MATCH(L$5,'خلاصه قرارداد'!$A$5:$P$5,0),0),VLOOKUP($A8,'خلاصه قرارداد'!$A$5:$P$10,MATCH(L$5,'خلاصه قرارداد'!$A$5:$P$5,0),0)/30*D8)</f>
        <v>22000000</v>
      </c>
      <c r="M8" s="55">
        <f>IF($C8&gt;=29,VLOOKUP($A8,'خلاصه قرارداد'!$A$5:$P$10,MATCH(M$5,'خلاصه قرارداد'!$A$5:$P$5,0),0),VLOOKUP($A8,'خلاصه قرارداد'!$A$5:$P$10,MATCH(M$5,'خلاصه قرارداد'!$A$5:$P$5,0),0)/30*E8)</f>
        <v>30000000</v>
      </c>
      <c r="N8" s="26">
        <v>4</v>
      </c>
      <c r="O8" s="58">
        <f>H8*N8</f>
        <v>134328404</v>
      </c>
      <c r="P8" s="26">
        <v>40</v>
      </c>
      <c r="Q8" s="59">
        <f>'خلاصه قرارداد'!I8*فروردین!P8</f>
        <v>256445132.11730206</v>
      </c>
      <c r="R8" s="59">
        <f t="shared" si="2"/>
        <v>1488818655.7839689</v>
      </c>
      <c r="S8" s="59">
        <f>IF((R8-O8-J8)&gt;=(maxsso*C8),maxsso*C8,R8-O8-J8)</f>
        <v>1202581450</v>
      </c>
      <c r="T8" s="58">
        <f>S8*7%</f>
        <v>84180701.500000015</v>
      </c>
      <c r="U8" s="59">
        <f t="shared" si="3"/>
        <v>1270309550.2839689</v>
      </c>
      <c r="V8" s="60">
        <f>IF(U8&lt;='اطلاعات پایه'!$G$5,U8*'اطلاعات پایه'!$I$5,IF(U8&lt;='اطلاعات پایه'!$H$6,(U8-'اطلاعات پایه'!$G$5)*'اطلاعات پایه'!$I$6+'اطلاعات پایه'!$K$5,IF(U8&lt;='اطلاعات پایه'!$H$7,(U8-'اطلاعات پایه'!$H$6)*'اطلاعات پایه'!$I$7+'اطلاعات پایه'!$K$6,IF(U8&lt;='اطلاعات پایه'!$H$8,(U8-'اطلاعات پایه'!$H$7)*'اطلاعات پایه'!$I$8+'اطلاعات پایه'!$K$7,IF(U8&gt;'اطلاعات پایه'!$H$8,(U8-'اطلاعات پایه'!$H$8)*'اطلاعات پایه'!$I$9+'اطلاعات پایه'!$K$8,"check")))))</f>
        <v>241092865.08519065</v>
      </c>
      <c r="W8" s="59">
        <v>0</v>
      </c>
      <c r="X8" s="59">
        <f t="shared" ref="X8:X10" si="4">V8+W8</f>
        <v>241092865.08519065</v>
      </c>
      <c r="Y8" s="59">
        <f>X8+T8</f>
        <v>325273566.58519065</v>
      </c>
      <c r="Z8" s="23"/>
      <c r="AA8" s="23"/>
      <c r="AB8" s="59">
        <f>R8-Y8-Z8-AA8</f>
        <v>1163545089.1987782</v>
      </c>
    </row>
    <row r="9" spans="1:28" x14ac:dyDescent="0.45">
      <c r="A9" s="24">
        <v>1004</v>
      </c>
      <c r="B9" s="21" t="str">
        <f>VLOOKUP(A9,'خلاصه قرارداد'!$A$5:$B$10,2,0)</f>
        <v>فرشید  پیرهادی</v>
      </c>
      <c r="C9" s="25">
        <v>31</v>
      </c>
      <c r="D9" s="55">
        <f>VLOOKUP($A9,'خلاصه قرارداد'!$A$5:$P$10,MATCH(D$5,'خلاصه قرارداد'!$A$5:$P$5,0),0)/30*$C9</f>
        <v>516666666.66666663</v>
      </c>
      <c r="E9" s="55">
        <f>VLOOKUP($A9,'خلاصه قرارداد'!$A$5:$P$10,MATCH(E$5,'خلاصه قرارداد'!$A$5:$P$5,0),0)/30*$C9</f>
        <v>412637868</v>
      </c>
      <c r="F9" s="55">
        <f>VLOOKUP($A9,'خلاصه قرارداد'!$A$5:$P$10,MATCH(F$5,'خلاصه قرارداد'!$A$5:$P$5,0),0)/30*$C9</f>
        <v>2914000</v>
      </c>
      <c r="G9" s="56">
        <f t="shared" si="0"/>
        <v>932218534.66666663</v>
      </c>
      <c r="H9" s="56">
        <f t="shared" si="1"/>
        <v>30071566</v>
      </c>
      <c r="I9" s="22">
        <f>VLOOKUP(A9,'خلاصه قرارداد'!$A$5:$K$10,11,0)</f>
        <v>2</v>
      </c>
      <c r="J9" s="55">
        <f>IF($C9&gt;=29,VLOOKUP($A9,'خلاصه قرارداد'!$A$5:$P$10,MATCH(J$5,'خلاصه قرارداد'!$A$5:$P$5,0),0),VLOOKUP($A9,'خلاصه قرارداد'!$A$5:$P$10,MATCH(J$5,'خلاصه قرارداد'!$A$5:$P$5,0),0)/30*B9)</f>
        <v>33251100</v>
      </c>
      <c r="K9" s="55">
        <f>IF($C9&gt;=29,VLOOKUP($A9,'خلاصه قرارداد'!$A$5:$P$10,MATCH(K$5,'خلاصه قرارداد'!$A$5:$P$5,0),0),VLOOKUP($A9,'خلاصه قرارداد'!$A$5:$P$10,MATCH(K$5,'خلاصه قرارداد'!$A$5:$P$5,0),0)/30*C9)</f>
        <v>0</v>
      </c>
      <c r="L9" s="55">
        <f>IF($C9&gt;=29,VLOOKUP($A9,'خلاصه قرارداد'!$A$5:$P$10,MATCH(L$5,'خلاصه قرارداد'!$A$5:$P$5,0),0),VLOOKUP($A9,'خلاصه قرارداد'!$A$5:$P$10,MATCH(L$5,'خلاصه قرارداد'!$A$5:$P$5,0),0)/30*D9)</f>
        <v>22000000</v>
      </c>
      <c r="M9" s="55">
        <f>IF($C9&gt;=29,VLOOKUP($A9,'خلاصه قرارداد'!$A$5:$P$10,MATCH(M$5,'خلاصه قرارداد'!$A$5:$P$5,0),0),VLOOKUP($A9,'خلاصه قرارداد'!$A$5:$P$10,MATCH(M$5,'خلاصه قرارداد'!$A$5:$P$5,0),0)/30*E9)</f>
        <v>30000000</v>
      </c>
      <c r="N9" s="27">
        <v>0</v>
      </c>
      <c r="O9" s="58"/>
      <c r="P9" s="27">
        <v>0</v>
      </c>
      <c r="Q9" s="59">
        <f>'خلاصه قرارداد'!I9*فروردین!P9</f>
        <v>0</v>
      </c>
      <c r="R9" s="59">
        <f t="shared" si="2"/>
        <v>1017469634.6666666</v>
      </c>
      <c r="S9" s="59">
        <f>IF((R9-O9-J9)&gt;=(maxsso*C9),maxsso*C9,R9-O9-J9)</f>
        <v>984218534.66666663</v>
      </c>
      <c r="T9" s="58">
        <f t="shared" ref="T9:T10" si="5">S9*7%</f>
        <v>68895297.426666677</v>
      </c>
      <c r="U9" s="59">
        <f t="shared" si="3"/>
        <v>948574337.24000001</v>
      </c>
      <c r="V9" s="60">
        <f>IF(U9&lt;='اطلاعات پایه'!$G$5,U9*'اطلاعات پایه'!$I$5,IF(U9&lt;='اطلاعات پایه'!$H$6,(U9-'اطلاعات پایه'!$G$5)*'اطلاعات پایه'!$I$6+'اطلاعات پایه'!$K$5,IF(U9&lt;='اطلاعات پایه'!$H$7,(U9-'اطلاعات پایه'!$H$6)*'اطلاعات پایه'!$I$7+'اطلاعات پایه'!$K$6,IF(U9&lt;='اطلاعات پایه'!$H$8,(U9-'اطلاعات پایه'!$H$7)*'اطلاعات پایه'!$I$8+'اطلاعات پایه'!$K$7,IF(U9&gt;'اطلاعات پایه'!$H$8,(U9-'اطلاعات پایه'!$H$8)*'اطلاعات پایه'!$I$9+'اطلاعات پایه'!$K$8,"check")))))</f>
        <v>147143584.31</v>
      </c>
      <c r="W9" s="59">
        <v>0</v>
      </c>
      <c r="X9" s="59">
        <f t="shared" si="4"/>
        <v>147143584.31</v>
      </c>
      <c r="Y9" s="59">
        <f>X9+T9</f>
        <v>216038881.73666668</v>
      </c>
      <c r="Z9" s="28"/>
      <c r="AA9" s="28"/>
      <c r="AB9" s="59">
        <f>R9-Y9-Z9-AA9</f>
        <v>801430752.92999995</v>
      </c>
    </row>
    <row r="10" spans="1:28" x14ac:dyDescent="0.45">
      <c r="A10" s="20">
        <v>1005</v>
      </c>
      <c r="B10" s="21" t="str">
        <f>VLOOKUP(A10,'خلاصه قرارداد'!$A$5:$B$10,2,0)</f>
        <v>ناهید بخشی</v>
      </c>
      <c r="C10" s="25">
        <v>31</v>
      </c>
      <c r="D10" s="55">
        <f>VLOOKUP($A10,'خلاصه قرارداد'!$A$5:$P$10,MATCH(D$5,'خلاصه قرارداد'!$A$5:$P$5,0),0)/30*$C10</f>
        <v>296066585</v>
      </c>
      <c r="E10" s="55">
        <f>VLOOKUP($A10,'خلاصه قرارداد'!$A$5:$P$10,MATCH(E$5,'خلاصه قرارداد'!$A$5:$P$5,0),0)/30*$C10</f>
        <v>272933415</v>
      </c>
      <c r="F10" s="55">
        <f>VLOOKUP($A10,'خلاصه قرارداد'!$A$5:$P$10,MATCH(F$5,'خلاصه قرارداد'!$A$5:$P$5,0),0)/30*$C10</f>
        <v>0</v>
      </c>
      <c r="G10" s="56">
        <f t="shared" si="0"/>
        <v>569000000</v>
      </c>
      <c r="H10" s="56">
        <f t="shared" si="1"/>
        <v>18354839</v>
      </c>
      <c r="I10" s="22">
        <f>VLOOKUP(A10,'خلاصه قرارداد'!$A$5:$K$10,11,0)</f>
        <v>0</v>
      </c>
      <c r="J10" s="55">
        <f>IF($C10&gt;=29,VLOOKUP($A10,'خلاصه قرارداد'!$A$5:$P$10,MATCH(J$5,'خلاصه قرارداد'!$A$5:$P$5,0),0),VLOOKUP($A10,'خلاصه قرارداد'!$A$5:$P$10,MATCH(J$5,'خلاصه قرارداد'!$A$5:$P$5,0),0)/30*B10)</f>
        <v>0</v>
      </c>
      <c r="K10" s="55">
        <f>IF($C10&gt;=29,VLOOKUP($A10,'خلاصه قرارداد'!$A$5:$P$10,MATCH(K$5,'خلاصه قرارداد'!$A$5:$P$5,0),0),VLOOKUP($A10,'خلاصه قرارداد'!$A$5:$P$10,MATCH(K$5,'خلاصه قرارداد'!$A$5:$P$5,0),0)/30*C10)</f>
        <v>0</v>
      </c>
      <c r="L10" s="55">
        <f>IF($C10&gt;=29,VLOOKUP($A10,'خلاصه قرارداد'!$A$5:$P$10,MATCH(L$5,'خلاصه قرارداد'!$A$5:$P$5,0),0),VLOOKUP($A10,'خلاصه قرارداد'!$A$5:$P$10,MATCH(L$5,'خلاصه قرارداد'!$A$5:$P$5,0),0)/30*D10)</f>
        <v>22000000</v>
      </c>
      <c r="M10" s="55">
        <f>IF($C10&gt;=29,VLOOKUP($A10,'خلاصه قرارداد'!$A$5:$P$10,MATCH(M$5,'خلاصه قرارداد'!$A$5:$P$5,0),0),VLOOKUP($A10,'خلاصه قرارداد'!$A$5:$P$10,MATCH(M$5,'خلاصه قرارداد'!$A$5:$P$5,0),0)/30*E10)</f>
        <v>30000000</v>
      </c>
      <c r="N10" s="27">
        <v>0</v>
      </c>
      <c r="O10" s="58">
        <f>H10*N10</f>
        <v>0</v>
      </c>
      <c r="P10" s="27">
        <v>10</v>
      </c>
      <c r="Q10" s="59">
        <f>'خلاصه قرارداد'!I10*فروردین!P10</f>
        <v>35041055.718475074</v>
      </c>
      <c r="R10" s="59">
        <f t="shared" si="2"/>
        <v>656041055.7184751</v>
      </c>
      <c r="S10" s="59">
        <f>IF((R10-O10-J10)&gt;=(maxsso*C10),maxsso*C10,R10-O10-J10)</f>
        <v>656041055.7184751</v>
      </c>
      <c r="T10" s="58">
        <f t="shared" si="5"/>
        <v>45922873.900293261</v>
      </c>
      <c r="U10" s="59">
        <f t="shared" si="3"/>
        <v>610118181.81818187</v>
      </c>
      <c r="V10" s="60">
        <f>IF(U10&lt;='اطلاعات پایه'!$G$5,U10*'اطلاعات پایه'!$I$5,IF(U10&lt;='اطلاعات پایه'!$H$6,(U10-'اطلاعات پایه'!$G$5)*'اطلاعات پایه'!$I$6+'اطلاعات پایه'!$K$5,IF(U10&lt;='اطلاعات پایه'!$H$7,(U10-'اطلاعات پایه'!$H$6)*'اطلاعات پایه'!$I$7+'اطلاعات پایه'!$K$6,IF(U10&lt;='اطلاعات پایه'!$H$8,(U10-'اطلاعات پایه'!$H$7)*'اطلاعات پایه'!$I$8+'اطلاعات پایه'!$K$7,IF(U10&gt;'اطلاعات پایه'!$H$8,(U10-'اطلاعات پایه'!$H$8)*'اطلاعات پایه'!$I$9+'اطلاعات پایه'!$K$8,"check")))))</f>
        <v>72023636.363636374</v>
      </c>
      <c r="W10" s="59">
        <v>0</v>
      </c>
      <c r="X10" s="59">
        <f t="shared" si="4"/>
        <v>72023636.363636374</v>
      </c>
      <c r="Y10" s="59">
        <f>X10+T10</f>
        <v>117946510.26392964</v>
      </c>
      <c r="Z10" s="28"/>
      <c r="AA10" s="28"/>
      <c r="AB10" s="59">
        <f>R10-Y10-Z10-AA10</f>
        <v>538094545.4545455</v>
      </c>
    </row>
    <row r="11" spans="1:28" ht="18.75" thickBot="1" x14ac:dyDescent="0.5">
      <c r="D11" s="61">
        <f>SUM(D6:D10)</f>
        <v>1759826424.3333335</v>
      </c>
      <c r="E11" s="62">
        <f t="shared" ref="E11:H11" si="6">SUM(E6:E10)</f>
        <v>1413459240</v>
      </c>
      <c r="F11" s="62">
        <f t="shared" si="6"/>
        <v>14470831</v>
      </c>
      <c r="G11" s="62">
        <f t="shared" si="6"/>
        <v>3187756495.3333335</v>
      </c>
      <c r="H11" s="62">
        <f t="shared" si="6"/>
        <v>102830857</v>
      </c>
      <c r="I11" s="63"/>
      <c r="J11" s="62">
        <f>SUM(J6:J10)</f>
        <v>83127750</v>
      </c>
      <c r="K11" s="62">
        <f>SUM(K6:K10)</f>
        <v>10000000</v>
      </c>
      <c r="L11" s="62">
        <f>SUM(L6:L10)</f>
        <v>110000000</v>
      </c>
      <c r="M11" s="62">
        <f t="shared" ref="M11:Q11" si="7">SUM(M6:M10)</f>
        <v>150000000</v>
      </c>
      <c r="N11" s="62">
        <f t="shared" si="7"/>
        <v>11</v>
      </c>
      <c r="O11" s="62">
        <f t="shared" si="7"/>
        <v>192783516</v>
      </c>
      <c r="P11" s="62">
        <f t="shared" si="7"/>
        <v>71.5</v>
      </c>
      <c r="Q11" s="62">
        <f t="shared" si="7"/>
        <v>332842576.27008796</v>
      </c>
      <c r="R11" s="64">
        <f t="shared" ref="R11:X11" si="8">SUM(R6:R10)</f>
        <v>4066510337.6034212</v>
      </c>
      <c r="S11" s="62">
        <f t="shared" si="8"/>
        <v>3638690269.8194523</v>
      </c>
      <c r="T11" s="62">
        <f t="shared" si="8"/>
        <v>254708318.88736174</v>
      </c>
      <c r="U11" s="62">
        <f t="shared" si="8"/>
        <v>3619018502.7160597</v>
      </c>
      <c r="V11" s="62">
        <f t="shared" si="8"/>
        <v>544968766.44539976</v>
      </c>
      <c r="W11" s="62">
        <f t="shared" si="8"/>
        <v>0</v>
      </c>
      <c r="X11" s="62">
        <f t="shared" si="8"/>
        <v>544968766.44539976</v>
      </c>
      <c r="Y11" s="62">
        <f>SUM(Y6:Y10)</f>
        <v>799677085.33276141</v>
      </c>
      <c r="Z11" s="62"/>
      <c r="AA11" s="62"/>
      <c r="AB11" s="62">
        <f>SUM(AB6:AB10)</f>
        <v>3266833252.2706599</v>
      </c>
    </row>
    <row r="12" spans="1:28" ht="18.75" thickTop="1" x14ac:dyDescent="0.45">
      <c r="U12" s="29"/>
      <c r="V12" s="29"/>
      <c r="W12" s="29"/>
      <c r="AB12" s="29"/>
    </row>
    <row r="13" spans="1:28" ht="19.5" customHeight="1" x14ac:dyDescent="0.5">
      <c r="E13" s="30"/>
      <c r="G13" s="30"/>
      <c r="H13" s="30"/>
      <c r="N13" s="146"/>
      <c r="O13" s="146"/>
      <c r="P13" s="146"/>
      <c r="Q13" s="146"/>
      <c r="R13" s="31"/>
      <c r="S13" s="31"/>
      <c r="T13" s="31"/>
    </row>
    <row r="14" spans="1:28" ht="19.5" customHeight="1" x14ac:dyDescent="0.55000000000000004">
      <c r="E14" s="30"/>
      <c r="G14" s="30"/>
      <c r="H14" s="30"/>
      <c r="N14" s="32"/>
      <c r="O14" s="32"/>
      <c r="P14" s="32"/>
      <c r="Q14" s="32"/>
      <c r="R14" s="32"/>
      <c r="S14" s="33"/>
      <c r="T14" s="34"/>
    </row>
    <row r="15" spans="1:28" ht="20.25" x14ac:dyDescent="0.55000000000000004">
      <c r="E15" s="36"/>
      <c r="F15" s="36"/>
      <c r="G15" s="36"/>
      <c r="H15" s="36"/>
      <c r="I15" s="36"/>
      <c r="N15" s="37"/>
      <c r="O15" s="37"/>
      <c r="P15" s="38"/>
      <c r="Q15" s="39"/>
      <c r="R15" s="39"/>
      <c r="S15" s="33"/>
      <c r="T15" s="40"/>
      <c r="V15" s="147" t="s">
        <v>42</v>
      </c>
      <c r="W15" s="147"/>
      <c r="X15" s="147"/>
    </row>
    <row r="16" spans="1:28" ht="36.75" customHeight="1" x14ac:dyDescent="0.55000000000000004">
      <c r="E16" s="30"/>
      <c r="F16" s="41"/>
      <c r="G16" s="42"/>
      <c r="H16" s="42"/>
      <c r="I16" s="43"/>
      <c r="L16" s="35"/>
      <c r="M16" s="35"/>
      <c r="N16" s="37"/>
      <c r="O16" s="37"/>
      <c r="P16" s="38"/>
      <c r="Q16" s="39"/>
      <c r="R16" s="39"/>
      <c r="S16" s="44"/>
      <c r="T16" s="45"/>
      <c r="V16" s="65" t="s">
        <v>43</v>
      </c>
      <c r="W16" s="66" t="s">
        <v>44</v>
      </c>
      <c r="X16" s="67" t="s">
        <v>45</v>
      </c>
    </row>
    <row r="17" spans="4:25" ht="19.5" x14ac:dyDescent="0.55000000000000004">
      <c r="F17" s="46"/>
      <c r="G17" s="43"/>
      <c r="H17" s="47"/>
      <c r="I17" s="46"/>
      <c r="K17" s="48"/>
      <c r="L17" s="35"/>
      <c r="M17" s="35"/>
      <c r="N17" s="37"/>
      <c r="O17" s="37"/>
      <c r="P17" s="38"/>
      <c r="Q17" s="39"/>
      <c r="R17" s="39"/>
      <c r="S17" s="31"/>
      <c r="T17" s="31"/>
      <c r="V17" s="3" t="s">
        <v>5</v>
      </c>
      <c r="W17" s="68">
        <f>D11</f>
        <v>1759826424.3333335</v>
      </c>
      <c r="X17" s="68"/>
    </row>
    <row r="18" spans="4:25" ht="19.5" x14ac:dyDescent="0.55000000000000004">
      <c r="D18" s="49"/>
      <c r="L18" s="35"/>
      <c r="M18" s="35"/>
      <c r="N18" s="37"/>
      <c r="O18" s="37"/>
      <c r="P18" s="38"/>
      <c r="Q18" s="39"/>
      <c r="R18" s="39"/>
      <c r="S18" s="31"/>
      <c r="T18" s="31"/>
      <c r="V18" s="3" t="s">
        <v>6</v>
      </c>
      <c r="W18" s="68">
        <f>E11</f>
        <v>1413459240</v>
      </c>
      <c r="X18" s="68"/>
    </row>
    <row r="19" spans="4:25" ht="19.5" x14ac:dyDescent="0.55000000000000004">
      <c r="D19" s="49"/>
      <c r="K19" s="50"/>
      <c r="L19" s="35"/>
      <c r="M19" s="35"/>
      <c r="N19" s="37"/>
      <c r="O19" s="37"/>
      <c r="P19" s="38"/>
      <c r="Q19" s="39"/>
      <c r="R19" s="39"/>
      <c r="S19" s="51"/>
      <c r="T19" s="31"/>
      <c r="V19" s="3" t="s">
        <v>7</v>
      </c>
      <c r="W19" s="68">
        <f>F11</f>
        <v>14470831</v>
      </c>
      <c r="X19" s="68"/>
    </row>
    <row r="20" spans="4:25" ht="19.5" x14ac:dyDescent="0.55000000000000004">
      <c r="D20" s="49"/>
      <c r="N20" s="37"/>
      <c r="O20" s="37"/>
      <c r="P20" s="38"/>
      <c r="Q20" s="39"/>
      <c r="R20" s="39"/>
      <c r="S20" s="52"/>
      <c r="T20" s="31"/>
      <c r="V20" s="3" t="s">
        <v>23</v>
      </c>
      <c r="W20" s="68">
        <f>J11</f>
        <v>83127750</v>
      </c>
      <c r="X20" s="68"/>
    </row>
    <row r="21" spans="4:25" ht="27.75" customHeight="1" x14ac:dyDescent="0.45">
      <c r="D21" s="49"/>
      <c r="N21" s="34"/>
      <c r="O21" s="31"/>
      <c r="P21" s="53"/>
      <c r="Q21" s="34"/>
      <c r="R21" s="31"/>
      <c r="S21" s="54"/>
      <c r="T21" s="31"/>
      <c r="V21" s="4" t="s">
        <v>10</v>
      </c>
      <c r="W21" s="69">
        <f>K11</f>
        <v>10000000</v>
      </c>
      <c r="X21" s="4"/>
    </row>
    <row r="22" spans="4:25" x14ac:dyDescent="0.45">
      <c r="D22" s="49"/>
      <c r="N22" s="31"/>
      <c r="O22" s="31"/>
      <c r="P22" s="31"/>
      <c r="Q22" s="31"/>
      <c r="R22" s="31"/>
      <c r="S22" s="54"/>
      <c r="T22" s="31"/>
      <c r="V22" s="70" t="s">
        <v>17</v>
      </c>
      <c r="W22" s="68">
        <f>L11</f>
        <v>110000000</v>
      </c>
      <c r="X22" s="68"/>
    </row>
    <row r="23" spans="4:25" x14ac:dyDescent="0.45">
      <c r="D23" s="49"/>
      <c r="N23" s="31"/>
      <c r="O23" s="31"/>
      <c r="P23" s="31"/>
      <c r="Q23" s="31"/>
      <c r="R23" s="31"/>
      <c r="S23" s="54"/>
      <c r="T23" s="31"/>
      <c r="V23" s="70" t="s">
        <v>18</v>
      </c>
      <c r="W23" s="68">
        <f>M11</f>
        <v>150000000</v>
      </c>
      <c r="X23" s="68"/>
    </row>
    <row r="24" spans="4:25" ht="19.5" x14ac:dyDescent="0.55000000000000004">
      <c r="N24" s="148"/>
      <c r="O24" s="148"/>
      <c r="P24" s="148"/>
      <c r="Q24" s="32"/>
      <c r="R24" s="32"/>
      <c r="S24" s="31"/>
      <c r="T24" s="31"/>
      <c r="V24" s="3" t="s">
        <v>25</v>
      </c>
      <c r="W24" s="68">
        <f>O11</f>
        <v>192783516</v>
      </c>
      <c r="X24" s="68"/>
    </row>
    <row r="25" spans="4:25" ht="19.5" x14ac:dyDescent="0.55000000000000004">
      <c r="N25" s="32"/>
      <c r="O25" s="32"/>
      <c r="P25" s="32"/>
      <c r="Q25" s="32"/>
      <c r="R25" s="32"/>
      <c r="S25" s="31"/>
      <c r="T25" s="52"/>
      <c r="V25" s="3" t="s">
        <v>27</v>
      </c>
      <c r="W25" s="68">
        <f>Q11</f>
        <v>332842576.27008796</v>
      </c>
      <c r="X25" s="68"/>
    </row>
    <row r="26" spans="4:25" ht="19.5" x14ac:dyDescent="0.55000000000000004">
      <c r="N26" s="37"/>
      <c r="O26" s="37"/>
      <c r="P26" s="38"/>
      <c r="Q26" s="39"/>
      <c r="R26" s="39"/>
      <c r="S26" s="31"/>
      <c r="T26" s="31"/>
      <c r="V26" s="71" t="s">
        <v>46</v>
      </c>
      <c r="W26" s="68">
        <f>S11*0.23</f>
        <v>836898762.05847406</v>
      </c>
      <c r="X26" s="68"/>
    </row>
    <row r="27" spans="4:25" ht="19.5" x14ac:dyDescent="0.55000000000000004">
      <c r="N27" s="37"/>
      <c r="O27" s="37"/>
      <c r="P27" s="38"/>
      <c r="Q27" s="39"/>
      <c r="R27" s="39"/>
      <c r="S27" s="31"/>
      <c r="T27" s="31"/>
      <c r="V27" s="4" t="s">
        <v>47</v>
      </c>
      <c r="W27" s="68"/>
      <c r="X27" s="68">
        <f>X11</f>
        <v>544968766.44539976</v>
      </c>
    </row>
    <row r="28" spans="4:25" ht="19.5" x14ac:dyDescent="0.55000000000000004">
      <c r="N28" s="37"/>
      <c r="O28" s="37"/>
      <c r="P28" s="38"/>
      <c r="Q28" s="39"/>
      <c r="R28" s="39"/>
      <c r="S28" s="31"/>
      <c r="T28" s="31"/>
      <c r="V28" s="4" t="s">
        <v>48</v>
      </c>
      <c r="W28" s="68"/>
      <c r="X28" s="68">
        <f>W26+T11</f>
        <v>1091607080.9458358</v>
      </c>
      <c r="Y28" s="16" t="s">
        <v>49</v>
      </c>
    </row>
    <row r="29" spans="4:25" ht="19.5" x14ac:dyDescent="0.55000000000000004">
      <c r="N29" s="37"/>
      <c r="O29" s="37"/>
      <c r="P29" s="38"/>
      <c r="Q29" s="39"/>
      <c r="R29" s="39"/>
      <c r="S29" s="31"/>
      <c r="T29" s="31"/>
      <c r="V29" s="4" t="s">
        <v>50</v>
      </c>
      <c r="W29" s="68"/>
      <c r="X29" s="68">
        <f>AB11</f>
        <v>3266833252.2706599</v>
      </c>
    </row>
    <row r="30" spans="4:25" ht="19.5" x14ac:dyDescent="0.55000000000000004">
      <c r="N30" s="37"/>
      <c r="O30" s="37"/>
      <c r="P30" s="38"/>
      <c r="Q30" s="39"/>
      <c r="R30" s="39"/>
      <c r="S30" s="31"/>
      <c r="T30" s="31"/>
      <c r="W30" s="35">
        <f>SUM(W17:W29)</f>
        <v>4903409099.6618958</v>
      </c>
      <c r="X30" s="35">
        <f>SUM(X17:X29)</f>
        <v>4903409099.6618958</v>
      </c>
    </row>
    <row r="31" spans="4:25" ht="19.5" x14ac:dyDescent="0.55000000000000004">
      <c r="N31" s="37"/>
      <c r="O31" s="37"/>
      <c r="P31" s="38"/>
      <c r="Q31" s="39"/>
      <c r="R31" s="39"/>
      <c r="S31" s="31"/>
      <c r="T31" s="31"/>
      <c r="X31" s="35">
        <f>X30-W30</f>
        <v>0</v>
      </c>
    </row>
  </sheetData>
  <mergeCells count="3">
    <mergeCell ref="N13:Q13"/>
    <mergeCell ref="V15:X15"/>
    <mergeCell ref="N24:P24"/>
  </mergeCells>
  <pageMargins left="0.19685039370078741" right="0.19685039370078741" top="0.35433070866141736" bottom="0.33" header="0.19685039370078741" footer="0.2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63F5A1F-D1A6-4C67-BFCB-9F701C713DD3}">
          <x14:formula1>
            <xm:f>'اطلاعات پایه'!$A$14:$A$25</xm:f>
          </x14:formula1>
          <xm:sqref>E2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AE671-DB44-4DBF-8804-BF89792190A3}">
  <dimension ref="C3:L9"/>
  <sheetViews>
    <sheetView rightToLeft="1" zoomScale="190" zoomScaleNormal="190" workbookViewId="0">
      <selection activeCell="D5" sqref="D5:G9"/>
    </sheetView>
  </sheetViews>
  <sheetFormatPr defaultRowHeight="18" x14ac:dyDescent="0.45"/>
  <cols>
    <col min="1" max="5" width="9.140625" style="2"/>
    <col min="6" max="6" width="11.5703125" style="2" customWidth="1"/>
    <col min="7" max="7" width="14.42578125" style="2" bestFit="1" customWidth="1"/>
    <col min="8" max="10" width="9.140625" style="2"/>
    <col min="11" max="11" width="12.7109375" style="2" customWidth="1"/>
    <col min="12" max="16384" width="9.140625" style="2"/>
  </cols>
  <sheetData>
    <row r="3" spans="3:12" x14ac:dyDescent="0.45">
      <c r="C3" s="2" t="s">
        <v>145</v>
      </c>
    </row>
    <row r="5" spans="3:12" x14ac:dyDescent="0.45">
      <c r="D5" s="4" t="s">
        <v>146</v>
      </c>
      <c r="E5" s="4" t="s">
        <v>151</v>
      </c>
      <c r="F5" s="4" t="s">
        <v>152</v>
      </c>
      <c r="G5" s="4" t="s">
        <v>159</v>
      </c>
      <c r="K5" s="2" t="s">
        <v>153</v>
      </c>
      <c r="L5" s="2" t="s">
        <v>154</v>
      </c>
    </row>
    <row r="6" spans="3:12" x14ac:dyDescent="0.45">
      <c r="D6" s="4" t="s">
        <v>147</v>
      </c>
      <c r="E6" s="4">
        <v>20</v>
      </c>
      <c r="F6" s="4" t="str">
        <f>IF(E6&lt;10,"تجدید","قبول")</f>
        <v>قبول</v>
      </c>
      <c r="G6" s="4" t="str">
        <f>IF(E6&lt;10,"تجدید",IF(E6&lt;12,"مشروط",IF(E6&gt;=12,"قبول","چک شود")))</f>
        <v>قبول</v>
      </c>
      <c r="K6" s="2" t="s">
        <v>155</v>
      </c>
      <c r="L6" s="2" t="s">
        <v>156</v>
      </c>
    </row>
    <row r="7" spans="3:12" x14ac:dyDescent="0.45">
      <c r="D7" s="4" t="s">
        <v>148</v>
      </c>
      <c r="E7" s="4">
        <v>3</v>
      </c>
      <c r="F7" s="4" t="str">
        <f t="shared" ref="F7:F9" si="0">IF(E7&lt;10,"تجدید","قبول")</f>
        <v>تجدید</v>
      </c>
      <c r="G7" s="4" t="str">
        <f t="shared" ref="G7:G9" si="1">IF(E7&lt;10,"تجدید",IF(E7&lt;12,"مشروط",IF(E7&gt;=12,"قبول","چک شود")))</f>
        <v>تجدید</v>
      </c>
      <c r="K7" s="2" t="s">
        <v>157</v>
      </c>
      <c r="L7" s="2" t="s">
        <v>158</v>
      </c>
    </row>
    <row r="8" spans="3:12" x14ac:dyDescent="0.45">
      <c r="D8" s="4" t="s">
        <v>149</v>
      </c>
      <c r="E8" s="4">
        <v>11</v>
      </c>
      <c r="F8" s="4" t="str">
        <f t="shared" si="0"/>
        <v>قبول</v>
      </c>
      <c r="G8" s="4" t="str">
        <f t="shared" si="1"/>
        <v>مشروط</v>
      </c>
    </row>
    <row r="9" spans="3:12" x14ac:dyDescent="0.45">
      <c r="D9" s="4" t="s">
        <v>150</v>
      </c>
      <c r="E9" s="4">
        <v>5</v>
      </c>
      <c r="F9" s="4" t="str">
        <f t="shared" si="0"/>
        <v>تجدید</v>
      </c>
      <c r="G9" s="4" t="str">
        <f t="shared" si="1"/>
        <v>تجدید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B6155-75F3-4609-8B4B-6BA5713AC5F6}">
  <dimension ref="A1:I25"/>
  <sheetViews>
    <sheetView rightToLeft="1" zoomScale="110" zoomScaleNormal="110" workbookViewId="0">
      <selection activeCell="A3" sqref="A3:F3"/>
    </sheetView>
  </sheetViews>
  <sheetFormatPr defaultColWidth="9" defaultRowHeight="18" x14ac:dyDescent="0.45"/>
  <cols>
    <col min="1" max="1" width="16.28515625" style="2" customWidth="1"/>
    <col min="2" max="2" width="14.7109375" style="2" bestFit="1" customWidth="1"/>
    <col min="3" max="3" width="16" style="2" customWidth="1"/>
    <col min="4" max="4" width="14.28515625" style="2" customWidth="1"/>
    <col min="5" max="5" width="9" style="2"/>
    <col min="6" max="6" width="14.140625" style="2" bestFit="1" customWidth="1"/>
    <col min="7" max="7" width="13.140625" style="2" bestFit="1" customWidth="1"/>
    <col min="8" max="8" width="11.7109375" style="2" customWidth="1"/>
    <col min="9" max="9" width="12.5703125" style="2" bestFit="1" customWidth="1"/>
    <col min="10" max="16384" width="9" style="2"/>
  </cols>
  <sheetData>
    <row r="1" spans="1:6" ht="24.75" customHeight="1" x14ac:dyDescent="0.5">
      <c r="A1" s="149" t="str">
        <f>'خلاصه قرارداد'!B2</f>
        <v>نام شرکت (.......)</v>
      </c>
      <c r="B1" s="150"/>
      <c r="C1" s="150"/>
      <c r="D1" s="150"/>
      <c r="E1" s="150"/>
      <c r="F1" s="151"/>
    </row>
    <row r="2" spans="1:6" ht="15" customHeight="1" x14ac:dyDescent="0.5">
      <c r="A2" s="152" t="s">
        <v>87</v>
      </c>
      <c r="B2" s="153"/>
      <c r="C2" s="153"/>
      <c r="D2" s="153"/>
      <c r="E2" s="153"/>
      <c r="F2" s="154"/>
    </row>
    <row r="3" spans="1:6" ht="24.75" customHeight="1" thickBot="1" x14ac:dyDescent="0.55000000000000004">
      <c r="A3" s="155" t="s">
        <v>64</v>
      </c>
      <c r="B3" s="156"/>
      <c r="C3" s="156"/>
      <c r="D3" s="156"/>
      <c r="E3" s="156"/>
      <c r="F3" s="157"/>
    </row>
    <row r="4" spans="1:6" ht="24.75" customHeight="1" x14ac:dyDescent="0.45">
      <c r="A4" s="108" t="s">
        <v>88</v>
      </c>
      <c r="B4" s="109"/>
      <c r="C4" s="109"/>
      <c r="D4" s="109" t="s">
        <v>2</v>
      </c>
      <c r="E4" s="109">
        <v>1005</v>
      </c>
      <c r="F4" s="110"/>
    </row>
    <row r="5" spans="1:6" ht="18.75" thickBot="1" x14ac:dyDescent="0.5">
      <c r="A5" s="113" t="s">
        <v>3</v>
      </c>
      <c r="B5" s="114"/>
      <c r="C5" s="114" t="str">
        <f t="shared" ref="C5" ca="1" si="0">VLOOKUP($E$4,INDIRECT($A$3&amp;"!karkard",1),MATCH(A5,INDIRECT($A$3&amp;"!$A$5:$AE$5",1),0),0)</f>
        <v>ناهید بخشی</v>
      </c>
      <c r="D5" s="111"/>
      <c r="E5" s="111"/>
      <c r="F5" s="112"/>
    </row>
    <row r="6" spans="1:6" ht="6" customHeight="1" thickBot="1" x14ac:dyDescent="0.5"/>
    <row r="7" spans="1:6" ht="18.75" thickBot="1" x14ac:dyDescent="0.5">
      <c r="A7" s="78" t="s">
        <v>89</v>
      </c>
      <c r="B7" s="79"/>
      <c r="C7" s="79"/>
      <c r="D7" s="79"/>
      <c r="E7" s="79"/>
      <c r="F7" s="80"/>
    </row>
    <row r="8" spans="1:6" x14ac:dyDescent="0.45">
      <c r="A8" s="81" t="s">
        <v>90</v>
      </c>
      <c r="B8" s="82"/>
      <c r="C8" s="83"/>
      <c r="D8" s="81" t="s">
        <v>94</v>
      </c>
      <c r="E8" s="82"/>
      <c r="F8" s="83"/>
    </row>
    <row r="9" spans="1:6" x14ac:dyDescent="0.45">
      <c r="A9" s="18" t="s">
        <v>20</v>
      </c>
      <c r="C9" s="84">
        <f t="shared" ref="C9:C21" ca="1" si="1">VLOOKUP($E$4,INDIRECT($A$3&amp;"!karkard",1),MATCH(A9,INDIRECT($A$3&amp;"!$A$5:$AE$5",1),0),0)</f>
        <v>31</v>
      </c>
      <c r="F9" s="86"/>
    </row>
    <row r="10" spans="1:6" x14ac:dyDescent="0.45">
      <c r="A10" s="103" t="s">
        <v>77</v>
      </c>
      <c r="C10" s="84">
        <f t="shared" ca="1" si="1"/>
        <v>296066585</v>
      </c>
      <c r="D10" s="18" t="s">
        <v>30</v>
      </c>
      <c r="F10" s="84">
        <f t="shared" ref="F10:F15" ca="1" si="2">VLOOKUP($E$4,INDIRECT($A$3&amp;"!karkard",1),MATCH(D10,INDIRECT($A$3&amp;"!$A$5:$AE$5",1),0),0)</f>
        <v>45922873.900293261</v>
      </c>
    </row>
    <row r="11" spans="1:6" x14ac:dyDescent="0.45">
      <c r="A11" s="100" t="s">
        <v>6</v>
      </c>
      <c r="C11" s="84">
        <f t="shared" ca="1" si="1"/>
        <v>272933415</v>
      </c>
      <c r="D11" s="18" t="s">
        <v>31</v>
      </c>
      <c r="F11" s="84">
        <f t="shared" ca="1" si="2"/>
        <v>72023636.363636374</v>
      </c>
    </row>
    <row r="12" spans="1:6" ht="36" x14ac:dyDescent="0.45">
      <c r="A12" s="100" t="s">
        <v>7</v>
      </c>
      <c r="C12" s="84">
        <f t="shared" ca="1" si="1"/>
        <v>0</v>
      </c>
      <c r="D12" s="18" t="s">
        <v>59</v>
      </c>
      <c r="F12" s="84" t="e">
        <f t="shared" ca="1" si="2"/>
        <v>#N/A</v>
      </c>
    </row>
    <row r="13" spans="1:6" x14ac:dyDescent="0.45">
      <c r="A13" s="100" t="s">
        <v>9</v>
      </c>
      <c r="C13" s="84">
        <f t="shared" ca="1" si="1"/>
        <v>0</v>
      </c>
      <c r="D13" s="18" t="s">
        <v>32</v>
      </c>
      <c r="F13" s="84">
        <f t="shared" ca="1" si="2"/>
        <v>72023636.363636374</v>
      </c>
    </row>
    <row r="14" spans="1:6" x14ac:dyDescent="0.45">
      <c r="A14" s="100" t="s">
        <v>23</v>
      </c>
      <c r="C14" s="84">
        <f t="shared" ca="1" si="1"/>
        <v>0</v>
      </c>
      <c r="D14" s="18" t="s">
        <v>60</v>
      </c>
      <c r="F14" s="84">
        <f t="shared" ca="1" si="2"/>
        <v>0</v>
      </c>
    </row>
    <row r="15" spans="1:6" x14ac:dyDescent="0.45">
      <c r="A15" s="100" t="s">
        <v>10</v>
      </c>
      <c r="C15" s="84">
        <f t="shared" ca="1" si="1"/>
        <v>0</v>
      </c>
      <c r="D15" s="18" t="s">
        <v>61</v>
      </c>
      <c r="F15" s="84">
        <f t="shared" ca="1" si="2"/>
        <v>0</v>
      </c>
    </row>
    <row r="16" spans="1:6" x14ac:dyDescent="0.45">
      <c r="A16" s="101" t="s">
        <v>17</v>
      </c>
      <c r="C16" s="84">
        <f t="shared" ca="1" si="1"/>
        <v>22000000</v>
      </c>
      <c r="D16" s="85"/>
      <c r="F16" s="86"/>
    </row>
    <row r="17" spans="1:9" x14ac:dyDescent="0.45">
      <c r="A17" s="101" t="s">
        <v>18</v>
      </c>
      <c r="C17" s="84">
        <f t="shared" ca="1" si="1"/>
        <v>30000000</v>
      </c>
      <c r="D17" s="85"/>
      <c r="F17" s="86"/>
    </row>
    <row r="18" spans="1:9" x14ac:dyDescent="0.45">
      <c r="A18" s="100" t="s">
        <v>24</v>
      </c>
      <c r="C18" s="84">
        <f t="shared" ca="1" si="1"/>
        <v>0</v>
      </c>
      <c r="D18" s="85"/>
      <c r="F18" s="86"/>
    </row>
    <row r="19" spans="1:9" x14ac:dyDescent="0.45">
      <c r="A19" s="100" t="s">
        <v>25</v>
      </c>
      <c r="C19" s="84">
        <f t="shared" ca="1" si="1"/>
        <v>0</v>
      </c>
      <c r="D19" s="85"/>
      <c r="F19" s="86"/>
    </row>
    <row r="20" spans="1:9" x14ac:dyDescent="0.45">
      <c r="A20" s="100" t="s">
        <v>26</v>
      </c>
      <c r="C20" s="84">
        <f t="shared" ca="1" si="1"/>
        <v>10</v>
      </c>
      <c r="D20" s="85"/>
      <c r="F20" s="86"/>
    </row>
    <row r="21" spans="1:9" ht="18.75" thickBot="1" x14ac:dyDescent="0.5">
      <c r="A21" s="102" t="s">
        <v>27</v>
      </c>
      <c r="B21" s="87"/>
      <c r="C21" s="84">
        <f t="shared" ca="1" si="1"/>
        <v>35041055.718475074</v>
      </c>
      <c r="D21" s="85"/>
      <c r="F21" s="86"/>
    </row>
    <row r="22" spans="1:9" ht="20.25" thickBot="1" x14ac:dyDescent="0.55000000000000004">
      <c r="A22" s="88" t="s">
        <v>91</v>
      </c>
      <c r="B22" s="89"/>
      <c r="C22" s="89">
        <f ca="1">SUM(C10:C21)-C13-C18-C20</f>
        <v>656041055.7184751</v>
      </c>
      <c r="D22" s="90" t="s">
        <v>92</v>
      </c>
      <c r="E22" s="90"/>
      <c r="F22" s="91" t="e">
        <f ca="1">SUM(F10:F21)-F11-F12</f>
        <v>#N/A</v>
      </c>
      <c r="G22" s="18" t="s">
        <v>34</v>
      </c>
      <c r="I22" s="84">
        <f ca="1">VLOOKUP($E$4,INDIRECT($A$3&amp;"!karkard",1),MATCH(G22,INDIRECT($A$3&amp;"!$A$5:$AE$5",1),0),0)</f>
        <v>538094545.4545455</v>
      </c>
    </row>
    <row r="23" spans="1:9" x14ac:dyDescent="0.45">
      <c r="A23" s="92" t="s">
        <v>34</v>
      </c>
      <c r="B23" s="93" t="e">
        <f ca="1">ROUNDUP(C22-F22,0)</f>
        <v>#N/A</v>
      </c>
      <c r="C23" s="93"/>
      <c r="D23" s="94"/>
      <c r="E23" s="94"/>
      <c r="F23" s="95"/>
      <c r="G23" s="96"/>
      <c r="I23" s="5" t="e">
        <f ca="1">I22-B23</f>
        <v>#N/A</v>
      </c>
    </row>
    <row r="24" spans="1:9" ht="18.75" thickBot="1" x14ac:dyDescent="0.5">
      <c r="A24" s="97" t="s">
        <v>93</v>
      </c>
      <c r="B24" s="98" t="e" cm="1">
        <f t="array" aca="1" ref="B24" ca="1">[2]!AbH(B23)&amp;" ریال "</f>
        <v>#VALUE!</v>
      </c>
      <c r="C24" s="98"/>
      <c r="D24" s="98"/>
      <c r="E24" s="98"/>
      <c r="F24" s="99"/>
    </row>
    <row r="25" spans="1:9" x14ac:dyDescent="0.45">
      <c r="C25" s="5"/>
    </row>
  </sheetData>
  <mergeCells count="3">
    <mergeCell ref="A1:F1"/>
    <mergeCell ref="A2:F2"/>
    <mergeCell ref="A3:F3"/>
  </mergeCells>
  <dataValidations count="1">
    <dataValidation type="list" allowBlank="1" showInputMessage="1" showErrorMessage="1" errorTitle="خطا" error="از لیست انتخاب شود" sqref="A3:F3" xr:uid="{E46D2770-466D-45AD-A0A2-2D67ABD67A70}">
      <formula1>months</formula1>
    </dataValidation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2529" r:id="rId4" name="Spinner 1">
              <controlPr defaultSize="0" autoPict="0">
                <anchor moveWithCells="1" sizeWithCells="1">
                  <from>
                    <xdr:col>7</xdr:col>
                    <xdr:colOff>85725</xdr:colOff>
                    <xdr:row>3</xdr:row>
                    <xdr:rowOff>19050</xdr:rowOff>
                  </from>
                  <to>
                    <xdr:col>8</xdr:col>
                    <xdr:colOff>552450</xdr:colOff>
                    <xdr:row>9</xdr:row>
                    <xdr:rowOff>9525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3109935-ACFF-473B-8011-F4B5CBD7DA47}">
          <x14:formula1>
            <xm:f>'خلاصه قرارداد'!$A$6:$A$10</xm:f>
          </x14:formula1>
          <xm:sqref>E4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2412C-A346-4341-BA45-9ADFF25DD3B5}">
  <dimension ref="B5:L35"/>
  <sheetViews>
    <sheetView rightToLeft="1" view="pageBreakPreview" zoomScale="110" zoomScaleNormal="130" zoomScaleSheetLayoutView="110" workbookViewId="0">
      <selection activeCell="F7" sqref="F7"/>
    </sheetView>
  </sheetViews>
  <sheetFormatPr defaultColWidth="9" defaultRowHeight="18" x14ac:dyDescent="0.45"/>
  <cols>
    <col min="1" max="1" width="3.140625" style="115" customWidth="1"/>
    <col min="2" max="2" width="25.7109375" style="115" customWidth="1"/>
    <col min="3" max="3" width="15.5703125" style="115" customWidth="1"/>
    <col min="4" max="4" width="12.85546875" style="115" customWidth="1"/>
    <col min="5" max="5" width="15.7109375" style="115" customWidth="1"/>
    <col min="6" max="6" width="20.5703125" style="115" customWidth="1"/>
    <col min="7" max="8" width="9" style="115"/>
    <col min="9" max="9" width="9.28515625" style="115" hidden="1" customWidth="1"/>
    <col min="10" max="10" width="9.7109375" style="115" hidden="1" customWidth="1"/>
    <col min="11" max="11" width="17.140625" style="115" hidden="1" customWidth="1"/>
    <col min="12" max="12" width="13.140625" style="115" hidden="1" customWidth="1"/>
    <col min="13" max="14" width="0" style="115" hidden="1" customWidth="1"/>
    <col min="15" max="16384" width="9" style="115"/>
  </cols>
  <sheetData>
    <row r="5" spans="2:12" ht="26.25" x14ac:dyDescent="0.65">
      <c r="B5" s="158" t="str">
        <f>'خلاصه قرارداد'!B2</f>
        <v>نام شرکت (.......)</v>
      </c>
      <c r="C5" s="158"/>
      <c r="D5" s="158"/>
      <c r="E5" s="158"/>
      <c r="F5" s="158"/>
    </row>
    <row r="6" spans="2:12" ht="24" customHeight="1" x14ac:dyDescent="0.45">
      <c r="B6" s="159" t="s">
        <v>98</v>
      </c>
      <c r="C6" s="159"/>
      <c r="D6" s="159"/>
      <c r="E6" s="159"/>
      <c r="F6" s="159"/>
      <c r="H6" s="115" t="s">
        <v>99</v>
      </c>
    </row>
    <row r="7" spans="2:12" x14ac:dyDescent="0.45">
      <c r="B7" s="116"/>
      <c r="C7" s="117"/>
      <c r="D7" s="117"/>
      <c r="E7" s="117" t="s">
        <v>2</v>
      </c>
      <c r="F7" s="118">
        <v>1003</v>
      </c>
    </row>
    <row r="8" spans="2:12" ht="36" x14ac:dyDescent="0.5">
      <c r="B8" s="119" t="s">
        <v>100</v>
      </c>
      <c r="C8" s="120" t="str">
        <f>VLOOKUP(F7,'خلاصه قرارداد'!A5:B10,2,0)</f>
        <v>اشکان فناییان</v>
      </c>
      <c r="E8" s="12" t="s">
        <v>8</v>
      </c>
      <c r="F8" s="121">
        <f>VLOOKUP(F7,'خلاصه قرارداد'!A5:H10,8,0)</f>
        <v>1007463019.032258</v>
      </c>
      <c r="K8" s="115" t="s">
        <v>41</v>
      </c>
      <c r="L8" s="122">
        <v>3463655.96</v>
      </c>
    </row>
    <row r="9" spans="2:12" x14ac:dyDescent="0.45">
      <c r="B9" s="119" t="s">
        <v>4</v>
      </c>
      <c r="C9" s="123" t="str">
        <f>VLOOKUP(F7,'خلاصه قرارداد'!A5:C10,3,0)</f>
        <v>1403/01/01</v>
      </c>
      <c r="E9" s="115" t="s">
        <v>101</v>
      </c>
      <c r="F9" s="124" t="s">
        <v>102</v>
      </c>
    </row>
    <row r="10" spans="2:12" x14ac:dyDescent="0.45">
      <c r="B10" s="119"/>
      <c r="E10" s="125"/>
      <c r="F10" s="126"/>
    </row>
    <row r="11" spans="2:12" x14ac:dyDescent="0.45">
      <c r="B11" s="116" t="s">
        <v>103</v>
      </c>
      <c r="C11" s="117"/>
      <c r="D11" s="118"/>
      <c r="E11" s="117" t="s">
        <v>104</v>
      </c>
      <c r="F11" s="118"/>
    </row>
    <row r="12" spans="2:12" x14ac:dyDescent="0.45">
      <c r="B12" s="119" t="s">
        <v>105</v>
      </c>
      <c r="C12" s="127">
        <v>0</v>
      </c>
      <c r="D12" s="128"/>
      <c r="F12" s="129"/>
      <c r="I12" s="115" t="s">
        <v>106</v>
      </c>
    </row>
    <row r="13" spans="2:12" x14ac:dyDescent="0.45">
      <c r="B13" s="119" t="s">
        <v>107</v>
      </c>
      <c r="C13" s="130" cm="1">
        <f t="array" ref="C13">[2]!J_DIFF(C9,F9)+1</f>
        <v>491</v>
      </c>
      <c r="D13" s="128"/>
      <c r="E13" s="115" t="s">
        <v>108</v>
      </c>
      <c r="F13" s="129">
        <v>0</v>
      </c>
      <c r="J13" s="131"/>
    </row>
    <row r="14" spans="2:12" x14ac:dyDescent="0.45">
      <c r="B14" s="119" t="s">
        <v>109</v>
      </c>
      <c r="C14" s="132">
        <f>F8/365*C13</f>
        <v>1355244773.5475032</v>
      </c>
      <c r="D14" s="128"/>
      <c r="E14" s="115" t="s">
        <v>110</v>
      </c>
      <c r="F14" s="129">
        <f>IF(C19&gt;240000000,(C19-240000000)*10%,0)</f>
        <v>0</v>
      </c>
    </row>
    <row r="15" spans="2:12" x14ac:dyDescent="0.45">
      <c r="B15" s="119" t="s">
        <v>111</v>
      </c>
      <c r="C15" s="133">
        <v>10</v>
      </c>
      <c r="D15" s="128"/>
      <c r="E15" s="115" t="s">
        <v>112</v>
      </c>
      <c r="F15" s="129"/>
      <c r="I15" s="115" t="s">
        <v>113</v>
      </c>
    </row>
    <row r="16" spans="2:12" x14ac:dyDescent="0.45">
      <c r="B16" s="119" t="s">
        <v>114</v>
      </c>
      <c r="C16" s="130" cm="1">
        <f t="array" ref="C16">[2]!J_DIFF(H6,F9)+1</f>
        <v>125</v>
      </c>
      <c r="D16" s="128"/>
      <c r="F16" s="129"/>
    </row>
    <row r="17" spans="2:9" x14ac:dyDescent="0.45">
      <c r="B17" s="119" t="s">
        <v>115</v>
      </c>
      <c r="C17" s="132">
        <f>(F8/220)*C15</f>
        <v>45793773.592375368</v>
      </c>
      <c r="D17" s="128"/>
      <c r="E17" s="115" t="s">
        <v>116</v>
      </c>
      <c r="F17" s="129"/>
    </row>
    <row r="18" spans="2:9" x14ac:dyDescent="0.45">
      <c r="B18" s="119"/>
      <c r="C18" s="132">
        <v>0</v>
      </c>
      <c r="D18" s="128"/>
      <c r="F18" s="129"/>
    </row>
    <row r="19" spans="2:9" x14ac:dyDescent="0.45">
      <c r="B19" s="119" t="s">
        <v>117</v>
      </c>
      <c r="C19" s="132">
        <f>IF((F8*2)&gt;=(L8*90),(L8*90)/365*C16,(F8*2)/365*C16)</f>
        <v>106756519.31506848</v>
      </c>
      <c r="D19" s="128"/>
      <c r="E19" s="115" t="s">
        <v>118</v>
      </c>
      <c r="F19" s="134"/>
    </row>
    <row r="20" spans="2:9" x14ac:dyDescent="0.45">
      <c r="B20" s="119" t="s">
        <v>119</v>
      </c>
      <c r="C20" s="135">
        <f>C19+C17+C14+C12+C18</f>
        <v>1507795066.454947</v>
      </c>
      <c r="D20" s="128"/>
      <c r="F20" s="129"/>
      <c r="I20" s="136"/>
    </row>
    <row r="21" spans="2:9" x14ac:dyDescent="0.45">
      <c r="B21" s="137"/>
      <c r="C21" s="125"/>
      <c r="D21" s="126"/>
      <c r="E21" s="125" t="s">
        <v>120</v>
      </c>
      <c r="F21" s="138">
        <f>F13+F14+F15+F19+F17</f>
        <v>0</v>
      </c>
    </row>
    <row r="22" spans="2:9" ht="19.5" x14ac:dyDescent="0.5">
      <c r="B22" s="139" t="s">
        <v>121</v>
      </c>
      <c r="C22" s="140">
        <f>ROUNDUP(C20-F21,0)</f>
        <v>1507795067</v>
      </c>
      <c r="E22" s="117"/>
      <c r="F22" s="118"/>
    </row>
    <row r="23" spans="2:9" ht="19.5" x14ac:dyDescent="0.5">
      <c r="B23" s="141" t="s">
        <v>93</v>
      </c>
      <c r="C23" s="142" t="str" cm="1">
        <f t="array" ref="C23">[2]!AbH(C22)</f>
        <v>يك ميليارد و پانصد و هفت ميليون و هفتصد و نود و پنج هزار و شصت و هفت</v>
      </c>
      <c r="D23" s="125"/>
      <c r="E23" s="125"/>
      <c r="F23" s="126"/>
    </row>
    <row r="24" spans="2:9" ht="19.5" x14ac:dyDescent="0.5">
      <c r="B24" s="143" t="s">
        <v>122</v>
      </c>
      <c r="C24" s="117"/>
      <c r="D24" s="117"/>
      <c r="E24" s="117"/>
      <c r="F24" s="118"/>
    </row>
    <row r="25" spans="2:9" x14ac:dyDescent="0.45">
      <c r="B25" s="119"/>
      <c r="F25" s="128"/>
    </row>
    <row r="26" spans="2:9" x14ac:dyDescent="0.45">
      <c r="B26" s="119"/>
      <c r="E26" s="115" t="s">
        <v>123</v>
      </c>
      <c r="F26" s="128"/>
    </row>
    <row r="27" spans="2:9" x14ac:dyDescent="0.45">
      <c r="B27" s="137"/>
      <c r="C27" s="125"/>
      <c r="D27" s="125"/>
      <c r="E27" s="125"/>
      <c r="F27" s="126"/>
    </row>
    <row r="28" spans="2:9" ht="19.5" x14ac:dyDescent="0.5">
      <c r="B28" s="143" t="s">
        <v>124</v>
      </c>
      <c r="C28" s="117"/>
      <c r="D28" s="117"/>
      <c r="E28" s="117"/>
      <c r="F28" s="118"/>
    </row>
    <row r="29" spans="2:9" x14ac:dyDescent="0.45">
      <c r="B29" s="119"/>
      <c r="F29" s="128"/>
    </row>
    <row r="30" spans="2:9" x14ac:dyDescent="0.45">
      <c r="B30" s="119"/>
      <c r="E30" s="115" t="s">
        <v>125</v>
      </c>
      <c r="F30" s="128"/>
    </row>
    <row r="31" spans="2:9" x14ac:dyDescent="0.45">
      <c r="B31" s="119"/>
      <c r="F31" s="128"/>
    </row>
    <row r="32" spans="2:9" ht="58.5" customHeight="1" x14ac:dyDescent="0.45">
      <c r="B32" s="160" t="s">
        <v>126</v>
      </c>
      <c r="C32" s="161"/>
      <c r="D32" s="161"/>
      <c r="E32" s="161"/>
      <c r="F32" s="162"/>
    </row>
    <row r="33" spans="2:6" x14ac:dyDescent="0.45">
      <c r="B33" s="119"/>
      <c r="F33" s="128"/>
    </row>
    <row r="34" spans="2:6" x14ac:dyDescent="0.45">
      <c r="B34" s="119" t="s">
        <v>127</v>
      </c>
      <c r="E34" s="115" t="s">
        <v>128</v>
      </c>
      <c r="F34" s="128"/>
    </row>
    <row r="35" spans="2:6" x14ac:dyDescent="0.45">
      <c r="B35" s="137"/>
      <c r="C35" s="125"/>
      <c r="D35" s="125"/>
      <c r="E35" s="125"/>
      <c r="F35" s="126"/>
    </row>
  </sheetData>
  <mergeCells count="3">
    <mergeCell ref="B5:F5"/>
    <mergeCell ref="B6:F6"/>
    <mergeCell ref="B32:F32"/>
  </mergeCells>
  <pageMargins left="0.36" right="0.28999999999999998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169F74F-6AC8-4672-AA33-AE440617D394}">
          <x14:formula1>
            <xm:f>'خلاصه قرارداد'!$A$6:$A$10</xm:f>
          </x14:formula1>
          <xm:sqref>F7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6C121-F93A-4CF5-A0A2-26D280FD8174}">
  <dimension ref="A1:R23"/>
  <sheetViews>
    <sheetView rightToLeft="1" zoomScale="110" zoomScaleNormal="11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R6" sqref="R6"/>
    </sheetView>
  </sheetViews>
  <sheetFormatPr defaultColWidth="9" defaultRowHeight="18" x14ac:dyDescent="0.45"/>
  <cols>
    <col min="1" max="1" width="9" style="16"/>
    <col min="2" max="2" width="20.28515625" style="16" customWidth="1"/>
    <col min="3" max="3" width="9" style="16"/>
    <col min="4" max="4" width="13.5703125" style="16" customWidth="1"/>
    <col min="5" max="5" width="14.7109375" style="16" customWidth="1"/>
    <col min="6" max="6" width="14.140625" style="16" bestFit="1" customWidth="1"/>
    <col min="7" max="7" width="15.28515625" style="16" customWidth="1"/>
    <col min="8" max="8" width="12.42578125" style="16" customWidth="1"/>
    <col min="9" max="9" width="14.5703125" style="16" customWidth="1"/>
    <col min="10" max="10" width="13.140625" style="16" customWidth="1"/>
    <col min="11" max="11" width="10.7109375" style="16" customWidth="1"/>
    <col min="12" max="12" width="12.7109375" style="16" customWidth="1"/>
    <col min="13" max="13" width="12.5703125" style="16" customWidth="1"/>
    <col min="14" max="15" width="14.85546875" style="16" customWidth="1"/>
    <col min="16" max="16" width="9" style="16"/>
    <col min="17" max="17" width="14.140625" style="16" bestFit="1" customWidth="1"/>
    <col min="18" max="18" width="13" style="16" customWidth="1"/>
    <col min="19" max="16384" width="9" style="16"/>
  </cols>
  <sheetData>
    <row r="1" spans="1:18" ht="19.5" x14ac:dyDescent="0.5">
      <c r="A1" s="15" t="str">
        <f>'خلاصه قرارداد'!A1</f>
        <v>واحد حسابداری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8" ht="19.5" x14ac:dyDescent="0.5">
      <c r="A2" s="15"/>
      <c r="B2" s="15" t="str">
        <f>'خلاصه قرارداد'!B2</f>
        <v>نام شرکت (.......)</v>
      </c>
      <c r="C2" s="15"/>
      <c r="D2" s="15"/>
      <c r="E2" s="15"/>
      <c r="F2" s="15" t="s">
        <v>16</v>
      </c>
      <c r="G2" s="15" t="s">
        <v>76</v>
      </c>
      <c r="H2" s="15"/>
      <c r="I2" s="15"/>
      <c r="J2" s="15"/>
      <c r="K2" s="15" t="s">
        <v>0</v>
      </c>
      <c r="L2" s="15"/>
      <c r="M2" s="15"/>
      <c r="N2" s="15"/>
      <c r="O2" s="15"/>
    </row>
    <row r="3" spans="1:18" ht="19.5" x14ac:dyDescent="0.5">
      <c r="A3" s="15"/>
      <c r="B3" s="15" t="s">
        <v>51</v>
      </c>
      <c r="C3" s="15"/>
      <c r="D3" s="15"/>
      <c r="E3" s="15"/>
      <c r="F3" s="15"/>
      <c r="G3" s="15"/>
      <c r="H3" s="15"/>
      <c r="I3" s="15"/>
      <c r="J3" s="15"/>
      <c r="K3" s="15" t="s">
        <v>19</v>
      </c>
      <c r="L3" s="15"/>
      <c r="M3" s="15"/>
      <c r="N3" s="15"/>
      <c r="O3" s="15"/>
    </row>
    <row r="4" spans="1:18" ht="19.5" x14ac:dyDescent="0.5">
      <c r="A4" s="15"/>
      <c r="B4" s="15" t="str">
        <f>'خلاصه قرارداد'!B4</f>
        <v>سال 1405</v>
      </c>
      <c r="C4" s="15"/>
      <c r="D4" s="15"/>
      <c r="E4" s="15"/>
      <c r="F4" s="15"/>
      <c r="G4" s="15"/>
      <c r="H4" s="15"/>
      <c r="I4" s="15"/>
      <c r="J4" s="15"/>
      <c r="K4" s="15" t="str">
        <f>'خلاصه قرارداد'!K4</f>
        <v>بررسی کننده :</v>
      </c>
      <c r="L4" s="15"/>
      <c r="M4" s="15"/>
      <c r="N4" s="15"/>
      <c r="O4" s="15"/>
    </row>
    <row r="5" spans="1:18" ht="54" x14ac:dyDescent="0.45">
      <c r="A5" s="17" t="s">
        <v>2</v>
      </c>
      <c r="B5" s="17" t="s">
        <v>3</v>
      </c>
      <c r="C5" s="17" t="s">
        <v>20</v>
      </c>
      <c r="D5" s="17" t="s">
        <v>129</v>
      </c>
      <c r="E5" s="17" t="s">
        <v>130</v>
      </c>
      <c r="F5" s="12" t="s">
        <v>77</v>
      </c>
      <c r="G5" s="18" t="s">
        <v>6</v>
      </c>
      <c r="H5" s="18" t="s">
        <v>7</v>
      </c>
      <c r="I5" s="18" t="s">
        <v>21</v>
      </c>
      <c r="J5" s="18" t="s">
        <v>22</v>
      </c>
      <c r="K5" s="18" t="s">
        <v>9</v>
      </c>
      <c r="L5" s="18" t="s">
        <v>23</v>
      </c>
      <c r="M5" s="18" t="s">
        <v>10</v>
      </c>
      <c r="N5" s="19" t="s">
        <v>17</v>
      </c>
      <c r="O5" s="19" t="s">
        <v>18</v>
      </c>
      <c r="P5" s="19" t="s">
        <v>114</v>
      </c>
      <c r="Q5" s="19" t="s">
        <v>11</v>
      </c>
      <c r="R5" s="19" t="s">
        <v>12</v>
      </c>
    </row>
    <row r="6" spans="1:18" x14ac:dyDescent="0.45">
      <c r="A6" s="20">
        <v>1001</v>
      </c>
      <c r="B6" s="21"/>
      <c r="C6" s="21">
        <v>29</v>
      </c>
      <c r="D6" s="21" t="s">
        <v>99</v>
      </c>
      <c r="E6" s="21" t="s">
        <v>131</v>
      </c>
      <c r="F6" s="55">
        <f>VLOOKUP($A6,'خلاصه قرارداد'!$A$5:$P$10,MATCH(F$5,'خلاصه قرارداد'!$A$5:$P$5,0),0)/30*$C6</f>
        <v>100446024</v>
      </c>
      <c r="G6" s="55">
        <f>VLOOKUP($A6,'خلاصه قرارداد'!$A$5:$P$10,MATCH(G$5,'خلاصه قرارداد'!$A$5:$P$5,0),0)/30*$C6</f>
        <v>56648962.032258064</v>
      </c>
      <c r="H6" s="55">
        <f>VLOOKUP($A6,'خلاصه قرارداد'!$A$5:$P$10,MATCH(H$5,'خلاصه قرارداد'!$A$5:$P$5,0),0)/30*$C6</f>
        <v>5405629</v>
      </c>
      <c r="I6" s="56">
        <f>SUM(F6:H6)</f>
        <v>162500615.03225806</v>
      </c>
      <c r="J6" s="56">
        <f>I6/C6</f>
        <v>5603469.4838709673</v>
      </c>
      <c r="K6" s="22">
        <v>1</v>
      </c>
      <c r="L6" s="55">
        <f>IF($C6&gt;=29,VLOOKUP($A6,'خلاصه قرارداد'!$A$5:$P$10,MATCH(L$5,'خلاصه قرارداد'!$A$5:$P$5,0),0),VLOOKUP($A6,'خلاصه قرارداد'!$A$5:$P$10,MATCH(L$5,'خلاصه قرارداد'!$A$5:$P$5,0),0)/30*B6)</f>
        <v>49876650</v>
      </c>
      <c r="M6" s="55">
        <f>IF($C6&gt;=29,VLOOKUP($A6,'خلاصه قرارداد'!$A$5:$P$10,MATCH(M$5,'خلاصه قرارداد'!$A$5:$P$5,0),0),VLOOKUP($A6,'خلاصه قرارداد'!$A$5:$P$10,MATCH(M$5,'خلاصه قرارداد'!$A$5:$P$5,0),0)/30*C6)</f>
        <v>5000000</v>
      </c>
      <c r="N6" s="55">
        <f>IF($C6&gt;=29,VLOOKUP($A6,'خلاصه قرارداد'!$A$5:$P$10,MATCH(N$5,'خلاصه قرارداد'!$A$5:$P$5,0),0),VLOOKUP($A6,'خلاصه قرارداد'!$A$5:$P$10,MATCH(N$5,'خلاصه قرارداد'!$A$5:$P$5,0),0)/30*F6)</f>
        <v>22000000</v>
      </c>
      <c r="O6" s="55">
        <f>IF($C6&gt;=29,VLOOKUP($A6,'خلاصه قرارداد'!$A$5:$P$10,MATCH(O$5,'خلاصه قرارداد'!$A$5:$P$5,0),0),VLOOKUP($A6,'خلاصه قرارداد'!$A$5:$P$10,MATCH(O$5,'خلاصه قرارداد'!$A$5:$P$5,0),0)/30*G6)</f>
        <v>30000000</v>
      </c>
      <c r="P6" s="55" cm="1">
        <f t="array" ref="P6">[2]!J_DIFF(D6,E6)+1</f>
        <v>365</v>
      </c>
      <c r="Q6" s="55">
        <f>IF((I6*2)&gt;=90*minwage,90*minwage,I6*2)/365*P6</f>
        <v>325001230.06451613</v>
      </c>
      <c r="R6" s="55">
        <f>Q6-exemption</f>
        <v>-74998769.935483873</v>
      </c>
    </row>
    <row r="7" spans="1:18" x14ac:dyDescent="0.45">
      <c r="A7" s="24">
        <v>1002</v>
      </c>
      <c r="B7" s="21"/>
      <c r="C7" s="25">
        <v>29</v>
      </c>
      <c r="D7" s="21" t="s">
        <v>99</v>
      </c>
      <c r="E7" s="21" t="s">
        <v>131</v>
      </c>
      <c r="F7" s="55">
        <f>VLOOKUP($A7,'خلاصه قرارداد'!$A$5:$P$10,MATCH(F$5,'خلاصه قرارداد'!$A$5:$P$5,0),0)/30*$C7</f>
        <v>200405515</v>
      </c>
      <c r="G7" s="55">
        <f>VLOOKUP($A7,'خلاصه قرارداد'!$A$5:$P$10,MATCH(G$5,'خلاصه قرارداد'!$A$5:$P$5,0),0)/30*$C7</f>
        <v>238262411.54838708</v>
      </c>
      <c r="H7" s="55">
        <f>VLOOKUP($A7,'خلاصه قرارداد'!$A$5:$P$10,MATCH(H$5,'خلاصه قرارداد'!$A$5:$P$5,0),0)/30*$C7</f>
        <v>2679600</v>
      </c>
      <c r="I7" s="56">
        <f t="shared" ref="I7:I10" si="0">SUM(F7:H7)</f>
        <v>441347526.54838705</v>
      </c>
      <c r="J7" s="56">
        <f>I7/C7</f>
        <v>15218880.22580645</v>
      </c>
      <c r="K7" s="22"/>
      <c r="L7" s="55">
        <f>IF($C7&gt;=29,VLOOKUP($A7,'خلاصه قرارداد'!$A$5:$P$10,MATCH(L$5,'خلاصه قرارداد'!$A$5:$P$5,0),0),VLOOKUP($A7,'خلاصه قرارداد'!$A$5:$P$10,MATCH(L$5,'خلاصه قرارداد'!$A$5:$P$5,0),0)/30*B7)</f>
        <v>0</v>
      </c>
      <c r="M7" s="55">
        <f>IF($C7&gt;=29,VLOOKUP($A7,'خلاصه قرارداد'!$A$5:$P$10,MATCH(M$5,'خلاصه قرارداد'!$A$5:$P$5,0),0),VLOOKUP($A7,'خلاصه قرارداد'!$A$5:$P$10,MATCH(M$5,'خلاصه قرارداد'!$A$5:$P$5,0),0)/30*C7)</f>
        <v>0</v>
      </c>
      <c r="N7" s="55">
        <f>IF($C7&gt;=29,VLOOKUP($A7,'خلاصه قرارداد'!$A$5:$P$10,MATCH(N$5,'خلاصه قرارداد'!$A$5:$P$5,0),0),VLOOKUP($A7,'خلاصه قرارداد'!$A$5:$P$10,MATCH(N$5,'خلاصه قرارداد'!$A$5:$P$5,0),0)/30*F7)</f>
        <v>22000000</v>
      </c>
      <c r="O7" s="55">
        <f>IF($C7&gt;=29,VLOOKUP($A7,'خلاصه قرارداد'!$A$5:$P$10,MATCH(O$5,'خلاصه قرارداد'!$A$5:$P$5,0),0),VLOOKUP($A7,'خلاصه قرارداد'!$A$5:$P$10,MATCH(O$5,'خلاصه قرارداد'!$A$5:$P$5,0),0)/30*G7)</f>
        <v>30000000</v>
      </c>
      <c r="P7" s="55" cm="1">
        <f t="array" ref="P7">[2]!J_DIFF(D7,E7)+1</f>
        <v>365</v>
      </c>
      <c r="Q7" s="55">
        <f>IF((I7*2)&gt;=90*minwage,90*minwage,I7*2)/365*P7</f>
        <v>498766500</v>
      </c>
      <c r="R7" s="55">
        <f>Q7-exemption</f>
        <v>98766500</v>
      </c>
    </row>
    <row r="8" spans="1:18" x14ac:dyDescent="0.45">
      <c r="A8" s="20">
        <v>1003</v>
      </c>
      <c r="B8" s="21"/>
      <c r="C8" s="25">
        <v>29</v>
      </c>
      <c r="D8" s="21" t="s">
        <v>99</v>
      </c>
      <c r="E8" s="21" t="s">
        <v>131</v>
      </c>
      <c r="F8" s="55">
        <f>VLOOKUP($A8,'خلاصه قرارداد'!$A$5:$P$10,MATCH(F$5,'خلاصه قرارداد'!$A$5:$P$5,0),0)/30*$C8</f>
        <v>585138848.33333337</v>
      </c>
      <c r="G8" s="55">
        <f>VLOOKUP($A8,'خلاصه قرارداد'!$A$5:$P$10,MATCH(G$5,'خلاصه قرارداد'!$A$5:$P$5,0),0)/30*$C8</f>
        <v>386016070.06451613</v>
      </c>
      <c r="H8" s="55">
        <f>VLOOKUP($A8,'خلاصه قرارداد'!$A$5:$P$10,MATCH(H$5,'خلاصه قرارداد'!$A$5:$P$5,0),0)/30*$C8</f>
        <v>2726000</v>
      </c>
      <c r="I8" s="56">
        <f t="shared" si="0"/>
        <v>973880918.39784956</v>
      </c>
      <c r="J8" s="56">
        <f>I8/C8</f>
        <v>33582100.634408608</v>
      </c>
      <c r="K8" s="22"/>
      <c r="L8" s="55">
        <f>IF($C8&gt;=29,VLOOKUP($A8,'خلاصه قرارداد'!$A$5:$P$10,MATCH(L$5,'خلاصه قرارداد'!$A$5:$P$5,0),0),VLOOKUP($A8,'خلاصه قرارداد'!$A$5:$P$10,MATCH(L$5,'خلاصه قرارداد'!$A$5:$P$5,0),0)/30*B8)</f>
        <v>0</v>
      </c>
      <c r="M8" s="55">
        <f>IF($C8&gt;=29,VLOOKUP($A8,'خلاصه قرارداد'!$A$5:$P$10,MATCH(M$5,'خلاصه قرارداد'!$A$5:$P$5,0),0),VLOOKUP($A8,'خلاصه قرارداد'!$A$5:$P$10,MATCH(M$5,'خلاصه قرارداد'!$A$5:$P$5,0),0)/30*C8)</f>
        <v>5000000</v>
      </c>
      <c r="N8" s="55">
        <f>IF($C8&gt;=29,VLOOKUP($A8,'خلاصه قرارداد'!$A$5:$P$10,MATCH(N$5,'خلاصه قرارداد'!$A$5:$P$5,0),0),VLOOKUP($A8,'خلاصه قرارداد'!$A$5:$P$10,MATCH(N$5,'خلاصه قرارداد'!$A$5:$P$5,0),0)/30*F8)</f>
        <v>22000000</v>
      </c>
      <c r="O8" s="55">
        <f>IF($C8&gt;=29,VLOOKUP($A8,'خلاصه قرارداد'!$A$5:$P$10,MATCH(O$5,'خلاصه قرارداد'!$A$5:$P$5,0),0),VLOOKUP($A8,'خلاصه قرارداد'!$A$5:$P$10,MATCH(O$5,'خلاصه قرارداد'!$A$5:$P$5,0),0)/30*G8)</f>
        <v>30000000</v>
      </c>
      <c r="P8" s="55" cm="1">
        <f t="array" ref="P8">[2]!J_DIFF(D8,E8)+1</f>
        <v>365</v>
      </c>
      <c r="Q8" s="55">
        <f>IF((I8*2)&gt;=90*minwage,90*minwage,I8*2)/365*P8</f>
        <v>498766500</v>
      </c>
      <c r="R8" s="55">
        <f>Q8-exemption</f>
        <v>98766500</v>
      </c>
    </row>
    <row r="9" spans="1:18" x14ac:dyDescent="0.45">
      <c r="A9" s="24">
        <v>1004</v>
      </c>
      <c r="B9" s="21"/>
      <c r="C9" s="25">
        <v>29</v>
      </c>
      <c r="D9" s="21" t="s">
        <v>99</v>
      </c>
      <c r="E9" s="21" t="s">
        <v>131</v>
      </c>
      <c r="F9" s="55">
        <f>VLOOKUP($A9,'خلاصه قرارداد'!$A$5:$P$10,MATCH(F$5,'خلاصه قرارداد'!$A$5:$P$5,0),0)/30*$C9</f>
        <v>483333333.33333331</v>
      </c>
      <c r="G9" s="55">
        <f>VLOOKUP($A9,'خلاصه قرارداد'!$A$5:$P$10,MATCH(G$5,'خلاصه قرارداد'!$A$5:$P$5,0),0)/30*$C9</f>
        <v>386016070.06451613</v>
      </c>
      <c r="H9" s="55">
        <f>VLOOKUP($A9,'خلاصه قرارداد'!$A$5:$P$10,MATCH(H$5,'خلاصه قرارداد'!$A$5:$P$5,0),0)/30*$C9</f>
        <v>2726000</v>
      </c>
      <c r="I9" s="56">
        <f t="shared" si="0"/>
        <v>872075403.39784944</v>
      </c>
      <c r="J9" s="56">
        <f>I9/C9</f>
        <v>30071565.634408601</v>
      </c>
      <c r="K9" s="22"/>
      <c r="L9" s="55">
        <f>IF($C9&gt;=29,VLOOKUP($A9,'خلاصه قرارداد'!$A$5:$P$10,MATCH(L$5,'خلاصه قرارداد'!$A$5:$P$5,0),0),VLOOKUP($A9,'خلاصه قرارداد'!$A$5:$P$10,MATCH(L$5,'خلاصه قرارداد'!$A$5:$P$5,0),0)/30*B9)</f>
        <v>33251100</v>
      </c>
      <c r="M9" s="55">
        <f>IF($C9&gt;=29,VLOOKUP($A9,'خلاصه قرارداد'!$A$5:$P$10,MATCH(M$5,'خلاصه قرارداد'!$A$5:$P$5,0),0),VLOOKUP($A9,'خلاصه قرارداد'!$A$5:$P$10,MATCH(M$5,'خلاصه قرارداد'!$A$5:$P$5,0),0)/30*C9)</f>
        <v>0</v>
      </c>
      <c r="N9" s="55">
        <f>IF($C9&gt;=29,VLOOKUP($A9,'خلاصه قرارداد'!$A$5:$P$10,MATCH(N$5,'خلاصه قرارداد'!$A$5:$P$5,0),0),VLOOKUP($A9,'خلاصه قرارداد'!$A$5:$P$10,MATCH(N$5,'خلاصه قرارداد'!$A$5:$P$5,0),0)/30*F9)</f>
        <v>22000000</v>
      </c>
      <c r="O9" s="55">
        <f>IF($C9&gt;=29,VLOOKUP($A9,'خلاصه قرارداد'!$A$5:$P$10,MATCH(O$5,'خلاصه قرارداد'!$A$5:$P$5,0),0),VLOOKUP($A9,'خلاصه قرارداد'!$A$5:$P$10,MATCH(O$5,'خلاصه قرارداد'!$A$5:$P$5,0),0)/30*G9)</f>
        <v>30000000</v>
      </c>
      <c r="P9" s="55" cm="1">
        <f t="array" ref="P9">[2]!J_DIFF(D9,E9)+1</f>
        <v>365</v>
      </c>
      <c r="Q9" s="55">
        <f>IF((I9*2)&gt;=90*minwage,90*minwage,I9*2)/365*P9</f>
        <v>498766500</v>
      </c>
      <c r="R9" s="55">
        <f>Q9-exemption</f>
        <v>98766500</v>
      </c>
    </row>
    <row r="10" spans="1:18" x14ac:dyDescent="0.45">
      <c r="A10" s="20">
        <v>1005</v>
      </c>
      <c r="B10" s="21"/>
      <c r="C10" s="25">
        <v>29</v>
      </c>
      <c r="D10" s="21" t="s">
        <v>99</v>
      </c>
      <c r="E10" s="21" t="s">
        <v>131</v>
      </c>
      <c r="F10" s="55">
        <f>VLOOKUP($A10,'خلاصه قرارداد'!$A$5:$P$10,MATCH(F$5,'خلاصه قرارداد'!$A$5:$P$5,0),0)/30*$C10</f>
        <v>276965515</v>
      </c>
      <c r="G10" s="55">
        <f>VLOOKUP($A10,'خلاصه قرارداد'!$A$5:$P$10,MATCH(G$5,'خلاصه قرارداد'!$A$5:$P$5,0),0)/30*$C10</f>
        <v>255324807.58064514</v>
      </c>
      <c r="H10" s="55">
        <f>VLOOKUP($A10,'خلاصه قرارداد'!$A$5:$P$10,MATCH(H$5,'خلاصه قرارداد'!$A$5:$P$5,0),0)/30*$C10</f>
        <v>0</v>
      </c>
      <c r="I10" s="56">
        <f t="shared" si="0"/>
        <v>532290322.58064514</v>
      </c>
      <c r="J10" s="57">
        <f>I10/C10</f>
        <v>18354838.709677421</v>
      </c>
      <c r="K10" s="22"/>
      <c r="L10" s="55">
        <f>IF($C10&gt;=29,VLOOKUP($A10,'خلاصه قرارداد'!$A$5:$P$10,MATCH(L$5,'خلاصه قرارداد'!$A$5:$P$5,0),0),VLOOKUP($A10,'خلاصه قرارداد'!$A$5:$P$10,MATCH(L$5,'خلاصه قرارداد'!$A$5:$P$5,0),0)/30*B10)</f>
        <v>0</v>
      </c>
      <c r="M10" s="55">
        <f>IF($C10&gt;=29,VLOOKUP($A10,'خلاصه قرارداد'!$A$5:$P$10,MATCH(M$5,'خلاصه قرارداد'!$A$5:$P$5,0),0),VLOOKUP($A10,'خلاصه قرارداد'!$A$5:$P$10,MATCH(M$5,'خلاصه قرارداد'!$A$5:$P$5,0),0)/30*C10)</f>
        <v>0</v>
      </c>
      <c r="N10" s="55">
        <f>IF($C10&gt;=29,VLOOKUP($A10,'خلاصه قرارداد'!$A$5:$P$10,MATCH(N$5,'خلاصه قرارداد'!$A$5:$P$5,0),0),VLOOKUP($A10,'خلاصه قرارداد'!$A$5:$P$10,MATCH(N$5,'خلاصه قرارداد'!$A$5:$P$5,0),0)/30*F10)</f>
        <v>22000000</v>
      </c>
      <c r="O10" s="55">
        <f>IF($C10&gt;=29,VLOOKUP($A10,'خلاصه قرارداد'!$A$5:$P$10,MATCH(O$5,'خلاصه قرارداد'!$A$5:$P$5,0),0),VLOOKUP($A10,'خلاصه قرارداد'!$A$5:$P$10,MATCH(O$5,'خلاصه قرارداد'!$A$5:$P$5,0),0)/30*G10)</f>
        <v>30000000</v>
      </c>
      <c r="P10" s="55" cm="1">
        <f t="array" ref="P10">[2]!J_DIFF(D10,E10)+1</f>
        <v>365</v>
      </c>
      <c r="Q10" s="55">
        <f>IF((I10*2)&gt;=90*minwage,90*minwage,I10*2)/365*P10</f>
        <v>498766500</v>
      </c>
      <c r="R10" s="55">
        <f>Q10-exemption</f>
        <v>98766500</v>
      </c>
    </row>
    <row r="11" spans="1:18" ht="18.75" thickBot="1" x14ac:dyDescent="0.5">
      <c r="F11" s="61">
        <f>SUM(F6:F10)</f>
        <v>1646289235.6666667</v>
      </c>
      <c r="G11" s="62">
        <f t="shared" ref="G11:J11" si="1">SUM(G6:G10)</f>
        <v>1322268321.2903225</v>
      </c>
      <c r="H11" s="62">
        <f t="shared" si="1"/>
        <v>13537229</v>
      </c>
      <c r="I11" s="62">
        <f t="shared" si="1"/>
        <v>2982094785.9569893</v>
      </c>
      <c r="J11" s="62">
        <f t="shared" si="1"/>
        <v>102830854.68817204</v>
      </c>
      <c r="K11" s="63"/>
      <c r="L11" s="62">
        <f>SUM(L6:L10)</f>
        <v>83127750</v>
      </c>
      <c r="M11" s="62">
        <f>SUM(M6:M10)</f>
        <v>10000000</v>
      </c>
      <c r="N11" s="62">
        <f>SUM(N6:N10)</f>
        <v>110000000</v>
      </c>
      <c r="O11" s="62">
        <f t="shared" ref="O11" si="2">SUM(O6:O10)</f>
        <v>150000000</v>
      </c>
      <c r="P11" s="62"/>
      <c r="Q11" s="144">
        <f>SUM(Q6:Q10)</f>
        <v>2320067230.0645161</v>
      </c>
      <c r="R11" s="144">
        <f>SUM(R6:R10)</f>
        <v>320067230.06451613</v>
      </c>
    </row>
    <row r="12" spans="1:18" ht="18.75" thickTop="1" x14ac:dyDescent="0.45"/>
    <row r="13" spans="1:18" ht="19.5" customHeight="1" x14ac:dyDescent="0.45">
      <c r="G13" s="30"/>
      <c r="I13" s="30"/>
      <c r="J13" s="30"/>
    </row>
    <row r="14" spans="1:18" ht="19.5" customHeight="1" x14ac:dyDescent="0.45">
      <c r="G14" s="30"/>
      <c r="I14" s="30"/>
      <c r="J14" s="30"/>
    </row>
    <row r="15" spans="1:18" x14ac:dyDescent="0.45">
      <c r="G15" s="36"/>
      <c r="H15" s="36"/>
      <c r="I15" s="36"/>
      <c r="J15" s="36"/>
      <c r="K15" s="36"/>
    </row>
    <row r="16" spans="1:18" ht="36.75" customHeight="1" x14ac:dyDescent="0.45">
      <c r="G16" s="30"/>
      <c r="H16" s="41"/>
      <c r="I16" s="42"/>
      <c r="J16" s="42"/>
      <c r="K16" s="43"/>
      <c r="N16" s="35"/>
      <c r="O16" s="35"/>
    </row>
    <row r="17" spans="6:15" x14ac:dyDescent="0.45">
      <c r="H17" s="46"/>
      <c r="I17" s="43"/>
      <c r="J17" s="47"/>
      <c r="K17" s="46"/>
      <c r="M17" s="48"/>
      <c r="N17" s="35"/>
      <c r="O17" s="35"/>
    </row>
    <row r="18" spans="6:15" x14ac:dyDescent="0.45">
      <c r="F18" s="49"/>
      <c r="N18" s="35"/>
      <c r="O18" s="35"/>
    </row>
    <row r="19" spans="6:15" x14ac:dyDescent="0.45">
      <c r="F19" s="49"/>
      <c r="M19" s="50"/>
      <c r="N19" s="35"/>
      <c r="O19" s="35"/>
    </row>
    <row r="20" spans="6:15" x14ac:dyDescent="0.45">
      <c r="F20" s="49"/>
    </row>
    <row r="21" spans="6:15" ht="27.75" customHeight="1" x14ac:dyDescent="0.45">
      <c r="F21" s="49"/>
    </row>
    <row r="22" spans="6:15" x14ac:dyDescent="0.45">
      <c r="F22" s="49"/>
    </row>
    <row r="23" spans="6:15" x14ac:dyDescent="0.45">
      <c r="F23" s="49"/>
    </row>
  </sheetData>
  <phoneticPr fontId="10" type="noConversion"/>
  <pageMargins left="0.19685039370078741" right="0.19685039370078741" top="0.35433070866141736" bottom="0.33" header="0.19685039370078741" footer="0.2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AEECF84-963F-4F6A-9B98-63A2C57DD5FD}">
          <x14:formula1>
            <xm:f>'اطلاعات پایه'!$A$14:$A$25</xm:f>
          </x14:formula1>
          <xm:sqref>G2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12</vt:i4>
      </vt:variant>
    </vt:vector>
  </HeadingPairs>
  <TitlesOfParts>
    <vt:vector size="20" baseType="lpstr">
      <vt:lpstr>فهرست</vt:lpstr>
      <vt:lpstr>اطلاعات پایه</vt:lpstr>
      <vt:lpstr>خلاصه قرارداد</vt:lpstr>
      <vt:lpstr>فروردین</vt:lpstr>
      <vt:lpstr>Sheet1</vt:lpstr>
      <vt:lpstr>فیش حقوقی</vt:lpstr>
      <vt:lpstr>فرم تسویه</vt:lpstr>
      <vt:lpstr>عیدی</vt:lpstr>
      <vt:lpstr>Database</vt:lpstr>
      <vt:lpstr>exemption</vt:lpstr>
      <vt:lpstr>exemtion</vt:lpstr>
      <vt:lpstr>عیدی!karkard</vt:lpstr>
      <vt:lpstr>فروردین!karkard</vt:lpstr>
      <vt:lpstr>maxsso</vt:lpstr>
      <vt:lpstr>minwage</vt:lpstr>
      <vt:lpstr>months</vt:lpstr>
      <vt:lpstr>olad</vt:lpstr>
      <vt:lpstr>'فرم تسویه'!Print_Area</vt:lpstr>
      <vt:lpstr>sarsoton</vt:lpstr>
      <vt:lpstr>taxexemption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Mahdi Moghadasi</dc:creator>
  <cp:lastModifiedBy>Mahdi Moghadasi</cp:lastModifiedBy>
  <cp:lastPrinted>2025-07-26T20:52:56Z</cp:lastPrinted>
  <dcterms:created xsi:type="dcterms:W3CDTF">2025-07-26T20:19:17Z</dcterms:created>
  <dcterms:modified xsi:type="dcterms:W3CDTF">2026-06-02T18:06:00Z</dcterms:modified>
</cp:coreProperties>
</file>